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ity\Desktop\My Website Samples\Commercial\"/>
    </mc:Choice>
  </mc:AlternateContent>
  <xr:revisionPtr revIDLastSave="0" documentId="13_ncr:1_{BFDA7320-B61B-4B80-8A40-DA3251644CD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General Summary" sheetId="4" r:id="rId1"/>
    <sheet name="TAKEOFF" sheetId="1" r:id="rId2"/>
    <sheet name="LABOR SHEET" sheetId="6" r:id="rId3"/>
  </sheets>
  <definedNames>
    <definedName name="_xlnm._FilterDatabase" localSheetId="1" hidden="1">TAKEOFF!$A$145:$AJ$275</definedName>
    <definedName name="_xlnm.Print_Area" localSheetId="0">'General Summary'!$A$1:$N$21</definedName>
    <definedName name="_xlnm.Print_Area" localSheetId="1">TAKEOFF!$A$2:$Q$282</definedName>
    <definedName name="_xlnm.Print_Titles" localSheetId="1">TAKEOFF!$1:$6</definedName>
  </definedNames>
  <calcPr calcId="181029"/>
</workbook>
</file>

<file path=xl/calcChain.xml><?xml version="1.0" encoding="utf-8"?>
<calcChain xmlns="http://schemas.openxmlformats.org/spreadsheetml/2006/main">
  <c r="Q282" i="1" l="1"/>
  <c r="Q281" i="1"/>
  <c r="Q280" i="1"/>
  <c r="Q279" i="1"/>
  <c r="Q278" i="1"/>
  <c r="Q277" i="1"/>
  <c r="O276" i="1"/>
  <c r="M276" i="1"/>
  <c r="J276" i="1"/>
  <c r="A275" i="1"/>
  <c r="Q274" i="1"/>
  <c r="A274" i="1"/>
  <c r="A273" i="1"/>
  <c r="Q272" i="1"/>
  <c r="P272" i="1"/>
  <c r="O272" i="1"/>
  <c r="M272" i="1"/>
  <c r="L272" i="1"/>
  <c r="K272" i="1"/>
  <c r="J272" i="1"/>
  <c r="G272" i="1"/>
  <c r="E272" i="1"/>
  <c r="A272" i="1"/>
  <c r="Q271" i="1"/>
  <c r="P271" i="1"/>
  <c r="O271" i="1"/>
  <c r="M271" i="1"/>
  <c r="L271" i="1"/>
  <c r="K271" i="1"/>
  <c r="J271" i="1"/>
  <c r="G271" i="1"/>
  <c r="E271" i="1"/>
  <c r="A271" i="1"/>
  <c r="Q270" i="1"/>
  <c r="P270" i="1"/>
  <c r="O270" i="1"/>
  <c r="M270" i="1"/>
  <c r="L270" i="1"/>
  <c r="K270" i="1"/>
  <c r="J270" i="1"/>
  <c r="G270" i="1"/>
  <c r="E270" i="1"/>
  <c r="A270" i="1"/>
  <c r="Q269" i="1"/>
  <c r="P269" i="1"/>
  <c r="O269" i="1"/>
  <c r="M269" i="1"/>
  <c r="L269" i="1"/>
  <c r="K269" i="1"/>
  <c r="J269" i="1"/>
  <c r="G269" i="1"/>
  <c r="E269" i="1"/>
  <c r="A269" i="1"/>
  <c r="A268" i="1"/>
  <c r="A267" i="1"/>
  <c r="Q266" i="1"/>
  <c r="P266" i="1"/>
  <c r="O266" i="1"/>
  <c r="N266" i="1"/>
  <c r="M266" i="1"/>
  <c r="L266" i="1"/>
  <c r="K266" i="1"/>
  <c r="J266" i="1"/>
  <c r="I266" i="1"/>
  <c r="G266" i="1"/>
  <c r="A266" i="1"/>
  <c r="Q265" i="1"/>
  <c r="P265" i="1"/>
  <c r="O265" i="1"/>
  <c r="N265" i="1"/>
  <c r="M265" i="1"/>
  <c r="L265" i="1"/>
  <c r="K265" i="1"/>
  <c r="J265" i="1"/>
  <c r="I265" i="1"/>
  <c r="G265" i="1"/>
  <c r="A265" i="1"/>
  <c r="Q264" i="1"/>
  <c r="P264" i="1"/>
  <c r="O264" i="1"/>
  <c r="M264" i="1"/>
  <c r="L264" i="1"/>
  <c r="K264" i="1"/>
  <c r="J264" i="1"/>
  <c r="G264" i="1"/>
  <c r="A264" i="1"/>
  <c r="Q263" i="1"/>
  <c r="P263" i="1"/>
  <c r="O263" i="1"/>
  <c r="M263" i="1"/>
  <c r="L263" i="1"/>
  <c r="K263" i="1"/>
  <c r="J263" i="1"/>
  <c r="G263" i="1"/>
  <c r="A263" i="1"/>
  <c r="Q262" i="1"/>
  <c r="P262" i="1"/>
  <c r="O262" i="1"/>
  <c r="M262" i="1"/>
  <c r="L262" i="1"/>
  <c r="K262" i="1"/>
  <c r="J262" i="1"/>
  <c r="G262" i="1"/>
  <c r="A262" i="1"/>
  <c r="Q261" i="1"/>
  <c r="P261" i="1"/>
  <c r="O261" i="1"/>
  <c r="M261" i="1"/>
  <c r="L261" i="1"/>
  <c r="K261" i="1"/>
  <c r="J261" i="1"/>
  <c r="G261" i="1"/>
  <c r="A261" i="1"/>
  <c r="Q260" i="1"/>
  <c r="P260" i="1"/>
  <c r="O260" i="1"/>
  <c r="M260" i="1"/>
  <c r="L260" i="1"/>
  <c r="K260" i="1"/>
  <c r="J260" i="1"/>
  <c r="G260" i="1"/>
  <c r="A260" i="1"/>
  <c r="A259" i="1"/>
  <c r="A258" i="1"/>
  <c r="A257" i="1"/>
  <c r="Q256" i="1"/>
  <c r="A256" i="1"/>
  <c r="A255" i="1"/>
  <c r="Q254" i="1"/>
  <c r="P254" i="1"/>
  <c r="O254" i="1"/>
  <c r="M254" i="1"/>
  <c r="L254" i="1"/>
  <c r="K254" i="1"/>
  <c r="J254" i="1"/>
  <c r="G254" i="1"/>
  <c r="A254" i="1"/>
  <c r="Q253" i="1"/>
  <c r="P253" i="1"/>
  <c r="O253" i="1"/>
  <c r="M253" i="1"/>
  <c r="L253" i="1"/>
  <c r="K253" i="1"/>
  <c r="J253" i="1"/>
  <c r="G253" i="1"/>
  <c r="A253" i="1"/>
  <c r="Q252" i="1"/>
  <c r="P252" i="1"/>
  <c r="O252" i="1"/>
  <c r="M252" i="1"/>
  <c r="L252" i="1"/>
  <c r="K252" i="1"/>
  <c r="J252" i="1"/>
  <c r="G252" i="1"/>
  <c r="A252" i="1"/>
  <c r="Q251" i="1"/>
  <c r="P251" i="1"/>
  <c r="O251" i="1"/>
  <c r="N251" i="1"/>
  <c r="M251" i="1"/>
  <c r="L251" i="1"/>
  <c r="K251" i="1"/>
  <c r="J251" i="1"/>
  <c r="I251" i="1"/>
  <c r="G251" i="1"/>
  <c r="A251" i="1"/>
  <c r="Q250" i="1"/>
  <c r="P250" i="1"/>
  <c r="O250" i="1"/>
  <c r="M250" i="1"/>
  <c r="L250" i="1"/>
  <c r="K250" i="1"/>
  <c r="J250" i="1"/>
  <c r="G250" i="1"/>
  <c r="A250" i="1"/>
  <c r="A249" i="1"/>
  <c r="A248" i="1"/>
  <c r="A247" i="1"/>
  <c r="Q246" i="1"/>
  <c r="A246" i="1"/>
  <c r="Q244" i="1"/>
  <c r="P244" i="1"/>
  <c r="O244" i="1"/>
  <c r="M244" i="1"/>
  <c r="L244" i="1"/>
  <c r="K244" i="1"/>
  <c r="J244" i="1"/>
  <c r="G244" i="1"/>
  <c r="A244" i="1"/>
  <c r="Q243" i="1"/>
  <c r="P243" i="1"/>
  <c r="O243" i="1"/>
  <c r="M243" i="1"/>
  <c r="L243" i="1"/>
  <c r="K243" i="1"/>
  <c r="J243" i="1"/>
  <c r="G243" i="1"/>
  <c r="A243" i="1"/>
  <c r="Q242" i="1"/>
  <c r="P242" i="1"/>
  <c r="O242" i="1"/>
  <c r="M242" i="1"/>
  <c r="L242" i="1"/>
  <c r="K242" i="1"/>
  <c r="J242" i="1"/>
  <c r="G242" i="1"/>
  <c r="A242" i="1"/>
  <c r="Q241" i="1"/>
  <c r="P241" i="1"/>
  <c r="O241" i="1"/>
  <c r="M241" i="1"/>
  <c r="L241" i="1"/>
  <c r="K241" i="1"/>
  <c r="J241" i="1"/>
  <c r="G241" i="1"/>
  <c r="A241" i="1"/>
  <c r="Q240" i="1"/>
  <c r="P240" i="1"/>
  <c r="O240" i="1"/>
  <c r="M240" i="1"/>
  <c r="L240" i="1"/>
  <c r="K240" i="1"/>
  <c r="J240" i="1"/>
  <c r="G240" i="1"/>
  <c r="A240" i="1"/>
  <c r="Q239" i="1"/>
  <c r="P239" i="1"/>
  <c r="O239" i="1"/>
  <c r="M239" i="1"/>
  <c r="L239" i="1"/>
  <c r="K239" i="1"/>
  <c r="J239" i="1"/>
  <c r="G239" i="1"/>
  <c r="A239" i="1"/>
  <c r="Q238" i="1"/>
  <c r="P238" i="1"/>
  <c r="O238" i="1"/>
  <c r="M238" i="1"/>
  <c r="L238" i="1"/>
  <c r="K238" i="1"/>
  <c r="J238" i="1"/>
  <c r="G238" i="1"/>
  <c r="A238" i="1"/>
  <c r="Q237" i="1"/>
  <c r="P237" i="1"/>
  <c r="O237" i="1"/>
  <c r="M237" i="1"/>
  <c r="L237" i="1"/>
  <c r="K237" i="1"/>
  <c r="J237" i="1"/>
  <c r="G237" i="1"/>
  <c r="A237" i="1"/>
  <c r="Q236" i="1"/>
  <c r="P236" i="1"/>
  <c r="O236" i="1"/>
  <c r="M236" i="1"/>
  <c r="L236" i="1"/>
  <c r="K236" i="1"/>
  <c r="J236" i="1"/>
  <c r="G236" i="1"/>
  <c r="A236" i="1"/>
  <c r="Q235" i="1"/>
  <c r="P235" i="1"/>
  <c r="O235" i="1"/>
  <c r="M235" i="1"/>
  <c r="L235" i="1"/>
  <c r="K235" i="1"/>
  <c r="J235" i="1"/>
  <c r="G235" i="1"/>
  <c r="A235" i="1"/>
  <c r="A234" i="1"/>
  <c r="A233" i="1"/>
  <c r="Q232" i="1"/>
  <c r="P232" i="1"/>
  <c r="O232" i="1"/>
  <c r="M232" i="1"/>
  <c r="L232" i="1"/>
  <c r="K232" i="1"/>
  <c r="J232" i="1"/>
  <c r="G232" i="1"/>
  <c r="A232" i="1"/>
  <c r="A231" i="1"/>
  <c r="A230" i="1"/>
  <c r="A229" i="1"/>
  <c r="Q228" i="1"/>
  <c r="A228" i="1"/>
  <c r="A227" i="1"/>
  <c r="Q226" i="1"/>
  <c r="P226" i="1"/>
  <c r="O226" i="1"/>
  <c r="M226" i="1"/>
  <c r="L226" i="1"/>
  <c r="K226" i="1"/>
  <c r="J226" i="1"/>
  <c r="G226" i="1"/>
  <c r="E226" i="1"/>
  <c r="A226" i="1"/>
  <c r="Q225" i="1"/>
  <c r="P225" i="1"/>
  <c r="O225" i="1"/>
  <c r="M225" i="1"/>
  <c r="L225" i="1"/>
  <c r="K225" i="1"/>
  <c r="J225" i="1"/>
  <c r="G225" i="1"/>
  <c r="A225" i="1"/>
  <c r="A224" i="1"/>
  <c r="A223" i="1"/>
  <c r="Q222" i="1"/>
  <c r="P222" i="1"/>
  <c r="O222" i="1"/>
  <c r="N222" i="1"/>
  <c r="M222" i="1"/>
  <c r="L222" i="1"/>
  <c r="K222" i="1"/>
  <c r="J222" i="1"/>
  <c r="G222" i="1"/>
  <c r="A222" i="1"/>
  <c r="Q221" i="1"/>
  <c r="P221" i="1"/>
  <c r="O221" i="1"/>
  <c r="N221" i="1"/>
  <c r="M221" i="1"/>
  <c r="L221" i="1"/>
  <c r="K221" i="1"/>
  <c r="J221" i="1"/>
  <c r="G221" i="1"/>
  <c r="A221" i="1"/>
  <c r="Q220" i="1"/>
  <c r="P220" i="1"/>
  <c r="O220" i="1"/>
  <c r="N220" i="1"/>
  <c r="M220" i="1"/>
  <c r="L220" i="1"/>
  <c r="K220" i="1"/>
  <c r="J220" i="1"/>
  <c r="G220" i="1"/>
  <c r="A220" i="1"/>
  <c r="Q219" i="1"/>
  <c r="P219" i="1"/>
  <c r="O219" i="1"/>
  <c r="M219" i="1"/>
  <c r="L219" i="1"/>
  <c r="K219" i="1"/>
  <c r="J219" i="1"/>
  <c r="G219" i="1"/>
  <c r="A219" i="1"/>
  <c r="Q218" i="1"/>
  <c r="P218" i="1"/>
  <c r="O218" i="1"/>
  <c r="M218" i="1"/>
  <c r="L218" i="1"/>
  <c r="K218" i="1"/>
  <c r="J218" i="1"/>
  <c r="G218" i="1"/>
  <c r="A218" i="1"/>
  <c r="Q217" i="1"/>
  <c r="P217" i="1"/>
  <c r="O217" i="1"/>
  <c r="N217" i="1"/>
  <c r="M217" i="1"/>
  <c r="L217" i="1"/>
  <c r="K217" i="1"/>
  <c r="J217" i="1"/>
  <c r="G217" i="1"/>
  <c r="A217" i="1"/>
  <c r="Q216" i="1"/>
  <c r="P216" i="1"/>
  <c r="O216" i="1"/>
  <c r="N216" i="1"/>
  <c r="M216" i="1"/>
  <c r="L216" i="1"/>
  <c r="K216" i="1"/>
  <c r="J216" i="1"/>
  <c r="G216" i="1"/>
  <c r="A216" i="1"/>
  <c r="A215" i="1"/>
  <c r="A214" i="1"/>
  <c r="Q213" i="1"/>
  <c r="P213" i="1"/>
  <c r="O213" i="1"/>
  <c r="M213" i="1"/>
  <c r="L213" i="1"/>
  <c r="K213" i="1"/>
  <c r="J213" i="1"/>
  <c r="G213" i="1"/>
  <c r="E213" i="1"/>
  <c r="A213" i="1"/>
  <c r="Q212" i="1"/>
  <c r="P212" i="1"/>
  <c r="O212" i="1"/>
  <c r="M212" i="1"/>
  <c r="L212" i="1"/>
  <c r="K212" i="1"/>
  <c r="J212" i="1"/>
  <c r="G212" i="1"/>
  <c r="E212" i="1"/>
  <c r="A212" i="1"/>
  <c r="A211" i="1"/>
  <c r="A210" i="1"/>
  <c r="Q209" i="1"/>
  <c r="P209" i="1"/>
  <c r="O209" i="1"/>
  <c r="M209" i="1"/>
  <c r="L209" i="1"/>
  <c r="K209" i="1"/>
  <c r="J209" i="1"/>
  <c r="G209" i="1"/>
  <c r="E209" i="1"/>
  <c r="A209" i="1"/>
  <c r="Q208" i="1"/>
  <c r="P208" i="1"/>
  <c r="O208" i="1"/>
  <c r="M208" i="1"/>
  <c r="L208" i="1"/>
  <c r="K208" i="1"/>
  <c r="J208" i="1"/>
  <c r="G208" i="1"/>
  <c r="E208" i="1"/>
  <c r="A208" i="1"/>
  <c r="Q207" i="1"/>
  <c r="P207" i="1"/>
  <c r="O207" i="1"/>
  <c r="M207" i="1"/>
  <c r="L207" i="1"/>
  <c r="K207" i="1"/>
  <c r="J207" i="1"/>
  <c r="G207" i="1"/>
  <c r="E207" i="1"/>
  <c r="A207" i="1"/>
  <c r="Q206" i="1"/>
  <c r="P206" i="1"/>
  <c r="O206" i="1"/>
  <c r="M206" i="1"/>
  <c r="L206" i="1"/>
  <c r="K206" i="1"/>
  <c r="J206" i="1"/>
  <c r="G206" i="1"/>
  <c r="E206" i="1"/>
  <c r="A206" i="1"/>
  <c r="G205" i="1"/>
  <c r="E205" i="1"/>
  <c r="A205" i="1"/>
  <c r="Q204" i="1"/>
  <c r="P204" i="1"/>
  <c r="O204" i="1"/>
  <c r="M204" i="1"/>
  <c r="L204" i="1"/>
  <c r="K204" i="1"/>
  <c r="J204" i="1"/>
  <c r="G204" i="1"/>
  <c r="A204" i="1"/>
  <c r="Q203" i="1"/>
  <c r="P203" i="1"/>
  <c r="O203" i="1"/>
  <c r="M203" i="1"/>
  <c r="L203" i="1"/>
  <c r="K203" i="1"/>
  <c r="J203" i="1"/>
  <c r="G203" i="1"/>
  <c r="E203" i="1"/>
  <c r="A203" i="1"/>
  <c r="Q202" i="1"/>
  <c r="P202" i="1"/>
  <c r="O202" i="1"/>
  <c r="M202" i="1"/>
  <c r="L202" i="1"/>
  <c r="K202" i="1"/>
  <c r="J202" i="1"/>
  <c r="G202" i="1"/>
  <c r="E202" i="1"/>
  <c r="A202" i="1"/>
  <c r="Q201" i="1"/>
  <c r="P201" i="1"/>
  <c r="O201" i="1"/>
  <c r="M201" i="1"/>
  <c r="L201" i="1"/>
  <c r="K201" i="1"/>
  <c r="J201" i="1"/>
  <c r="G201" i="1"/>
  <c r="E201" i="1"/>
  <c r="A201" i="1"/>
  <c r="G200" i="1"/>
  <c r="E200" i="1"/>
  <c r="A200" i="1"/>
  <c r="Q199" i="1"/>
  <c r="P199" i="1"/>
  <c r="O199" i="1"/>
  <c r="M199" i="1"/>
  <c r="L199" i="1"/>
  <c r="K199" i="1"/>
  <c r="J199" i="1"/>
  <c r="G199" i="1"/>
  <c r="A199" i="1"/>
  <c r="A198" i="1"/>
  <c r="A197" i="1"/>
  <c r="Q196" i="1"/>
  <c r="P196" i="1"/>
  <c r="O196" i="1"/>
  <c r="M196" i="1"/>
  <c r="L196" i="1"/>
  <c r="K196" i="1"/>
  <c r="J196" i="1"/>
  <c r="G196" i="1"/>
  <c r="A196" i="1"/>
  <c r="Q195" i="1"/>
  <c r="P195" i="1"/>
  <c r="O195" i="1"/>
  <c r="M195" i="1"/>
  <c r="L195" i="1"/>
  <c r="K195" i="1"/>
  <c r="J195" i="1"/>
  <c r="G195" i="1"/>
  <c r="E195" i="1"/>
  <c r="A195" i="1"/>
  <c r="A194" i="1"/>
  <c r="A193" i="1"/>
  <c r="Q192" i="1"/>
  <c r="P192" i="1"/>
  <c r="O192" i="1"/>
  <c r="M192" i="1"/>
  <c r="L192" i="1"/>
  <c r="K192" i="1"/>
  <c r="J192" i="1"/>
  <c r="G192" i="1"/>
  <c r="A192" i="1"/>
  <c r="Q191" i="1"/>
  <c r="P191" i="1"/>
  <c r="O191" i="1"/>
  <c r="M191" i="1"/>
  <c r="L191" i="1"/>
  <c r="K191" i="1"/>
  <c r="J191" i="1"/>
  <c r="G191" i="1"/>
  <c r="A191" i="1"/>
  <c r="A190" i="1"/>
  <c r="A189" i="1"/>
  <c r="Q188" i="1"/>
  <c r="P188" i="1"/>
  <c r="O188" i="1"/>
  <c r="M188" i="1"/>
  <c r="L188" i="1"/>
  <c r="K188" i="1"/>
  <c r="J188" i="1"/>
  <c r="G188" i="1"/>
  <c r="E188" i="1"/>
  <c r="A188" i="1"/>
  <c r="Q187" i="1"/>
  <c r="P187" i="1"/>
  <c r="O187" i="1"/>
  <c r="M187" i="1"/>
  <c r="L187" i="1"/>
  <c r="K187" i="1"/>
  <c r="J187" i="1"/>
  <c r="G187" i="1"/>
  <c r="E187" i="1"/>
  <c r="A187" i="1"/>
  <c r="Q186" i="1"/>
  <c r="P186" i="1"/>
  <c r="O186" i="1"/>
  <c r="M186" i="1"/>
  <c r="L186" i="1"/>
  <c r="K186" i="1"/>
  <c r="J186" i="1"/>
  <c r="G186" i="1"/>
  <c r="E186" i="1"/>
  <c r="A186" i="1"/>
  <c r="Q185" i="1"/>
  <c r="P185" i="1"/>
  <c r="O185" i="1"/>
  <c r="M185" i="1"/>
  <c r="L185" i="1"/>
  <c r="K185" i="1"/>
  <c r="J185" i="1"/>
  <c r="G185" i="1"/>
  <c r="E185" i="1"/>
  <c r="A185" i="1"/>
  <c r="Q184" i="1"/>
  <c r="P184" i="1"/>
  <c r="O184" i="1"/>
  <c r="M184" i="1"/>
  <c r="L184" i="1"/>
  <c r="K184" i="1"/>
  <c r="J184" i="1"/>
  <c r="G184" i="1"/>
  <c r="E184" i="1"/>
  <c r="A184" i="1"/>
  <c r="Q183" i="1"/>
  <c r="P183" i="1"/>
  <c r="O183" i="1"/>
  <c r="M183" i="1"/>
  <c r="L183" i="1"/>
  <c r="K183" i="1"/>
  <c r="J183" i="1"/>
  <c r="G183" i="1"/>
  <c r="E183" i="1"/>
  <c r="A183" i="1"/>
  <c r="Q182" i="1"/>
  <c r="P182" i="1"/>
  <c r="O182" i="1"/>
  <c r="M182" i="1"/>
  <c r="L182" i="1"/>
  <c r="K182" i="1"/>
  <c r="J182" i="1"/>
  <c r="G182" i="1"/>
  <c r="E182" i="1"/>
  <c r="A182" i="1"/>
  <c r="Q181" i="1"/>
  <c r="P181" i="1"/>
  <c r="O181" i="1"/>
  <c r="M181" i="1"/>
  <c r="L181" i="1"/>
  <c r="K181" i="1"/>
  <c r="J181" i="1"/>
  <c r="G181" i="1"/>
  <c r="E181" i="1"/>
  <c r="A181" i="1"/>
  <c r="G180" i="1"/>
  <c r="E180" i="1"/>
  <c r="A180" i="1"/>
  <c r="Q179" i="1"/>
  <c r="P179" i="1"/>
  <c r="O179" i="1"/>
  <c r="M179" i="1"/>
  <c r="L179" i="1"/>
  <c r="K179" i="1"/>
  <c r="J179" i="1"/>
  <c r="G179" i="1"/>
  <c r="E179" i="1"/>
  <c r="A179" i="1"/>
  <c r="Q178" i="1"/>
  <c r="P178" i="1"/>
  <c r="O178" i="1"/>
  <c r="M178" i="1"/>
  <c r="L178" i="1"/>
  <c r="K178" i="1"/>
  <c r="J178" i="1"/>
  <c r="G178" i="1"/>
  <c r="E178" i="1"/>
  <c r="A178" i="1"/>
  <c r="Q177" i="1"/>
  <c r="P177" i="1"/>
  <c r="O177" i="1"/>
  <c r="M177" i="1"/>
  <c r="L177" i="1"/>
  <c r="K177" i="1"/>
  <c r="J177" i="1"/>
  <c r="G177" i="1"/>
  <c r="E177" i="1"/>
  <c r="A177" i="1"/>
  <c r="Q176" i="1"/>
  <c r="P176" i="1"/>
  <c r="O176" i="1"/>
  <c r="M176" i="1"/>
  <c r="L176" i="1"/>
  <c r="K176" i="1"/>
  <c r="J176" i="1"/>
  <c r="G176" i="1"/>
  <c r="E176" i="1"/>
  <c r="A176" i="1"/>
  <c r="G175" i="1"/>
  <c r="E175" i="1"/>
  <c r="A175" i="1"/>
  <c r="Q174" i="1"/>
  <c r="P174" i="1"/>
  <c r="O174" i="1"/>
  <c r="M174" i="1"/>
  <c r="L174" i="1"/>
  <c r="K174" i="1"/>
  <c r="J174" i="1"/>
  <c r="G174" i="1"/>
  <c r="E174" i="1"/>
  <c r="A174" i="1"/>
  <c r="Q173" i="1"/>
  <c r="P173" i="1"/>
  <c r="O173" i="1"/>
  <c r="M173" i="1"/>
  <c r="L173" i="1"/>
  <c r="K173" i="1"/>
  <c r="J173" i="1"/>
  <c r="G173" i="1"/>
  <c r="E173" i="1"/>
  <c r="A173" i="1"/>
  <c r="Q172" i="1"/>
  <c r="P172" i="1"/>
  <c r="O172" i="1"/>
  <c r="M172" i="1"/>
  <c r="L172" i="1"/>
  <c r="K172" i="1"/>
  <c r="J172" i="1"/>
  <c r="G172" i="1"/>
  <c r="E172" i="1"/>
  <c r="A172" i="1"/>
  <c r="Q171" i="1"/>
  <c r="P171" i="1"/>
  <c r="O171" i="1"/>
  <c r="M171" i="1"/>
  <c r="L171" i="1"/>
  <c r="K171" i="1"/>
  <c r="J171" i="1"/>
  <c r="G171" i="1"/>
  <c r="E171" i="1"/>
  <c r="A171" i="1"/>
  <c r="G170" i="1"/>
  <c r="E170" i="1"/>
  <c r="A170" i="1"/>
  <c r="Q169" i="1"/>
  <c r="P169" i="1"/>
  <c r="O169" i="1"/>
  <c r="M169" i="1"/>
  <c r="L169" i="1"/>
  <c r="K169" i="1"/>
  <c r="J169" i="1"/>
  <c r="G169" i="1"/>
  <c r="E169" i="1"/>
  <c r="A169" i="1"/>
  <c r="A168" i="1"/>
  <c r="A167" i="1"/>
  <c r="Q166" i="1"/>
  <c r="P166" i="1"/>
  <c r="O166" i="1"/>
  <c r="M166" i="1"/>
  <c r="L166" i="1"/>
  <c r="K166" i="1"/>
  <c r="J166" i="1"/>
  <c r="G166" i="1"/>
  <c r="E166" i="1"/>
  <c r="A166" i="1"/>
  <c r="Q165" i="1"/>
  <c r="P165" i="1"/>
  <c r="O165" i="1"/>
  <c r="M165" i="1"/>
  <c r="L165" i="1"/>
  <c r="K165" i="1"/>
  <c r="J165" i="1"/>
  <c r="G165" i="1"/>
  <c r="E165" i="1"/>
  <c r="A165" i="1"/>
  <c r="Q164" i="1"/>
  <c r="P164" i="1"/>
  <c r="O164" i="1"/>
  <c r="M164" i="1"/>
  <c r="L164" i="1"/>
  <c r="K164" i="1"/>
  <c r="J164" i="1"/>
  <c r="G164" i="1"/>
  <c r="E164" i="1"/>
  <c r="A164" i="1"/>
  <c r="Q163" i="1"/>
  <c r="P163" i="1"/>
  <c r="O163" i="1"/>
  <c r="M163" i="1"/>
  <c r="L163" i="1"/>
  <c r="K163" i="1"/>
  <c r="J163" i="1"/>
  <c r="G163" i="1"/>
  <c r="E163" i="1"/>
  <c r="A163" i="1"/>
  <c r="Q162" i="1"/>
  <c r="P162" i="1"/>
  <c r="O162" i="1"/>
  <c r="M162" i="1"/>
  <c r="L162" i="1"/>
  <c r="K162" i="1"/>
  <c r="J162" i="1"/>
  <c r="G162" i="1"/>
  <c r="E162" i="1"/>
  <c r="A162" i="1"/>
  <c r="Q161" i="1"/>
  <c r="P161" i="1"/>
  <c r="O161" i="1"/>
  <c r="M161" i="1"/>
  <c r="L161" i="1"/>
  <c r="K161" i="1"/>
  <c r="J161" i="1"/>
  <c r="G161" i="1"/>
  <c r="E161" i="1"/>
  <c r="A161" i="1"/>
  <c r="Q160" i="1"/>
  <c r="P160" i="1"/>
  <c r="O160" i="1"/>
  <c r="M160" i="1"/>
  <c r="L160" i="1"/>
  <c r="K160" i="1"/>
  <c r="J160" i="1"/>
  <c r="G160" i="1"/>
  <c r="E160" i="1"/>
  <c r="A160" i="1"/>
  <c r="Q159" i="1"/>
  <c r="P159" i="1"/>
  <c r="O159" i="1"/>
  <c r="M159" i="1"/>
  <c r="L159" i="1"/>
  <c r="K159" i="1"/>
  <c r="J159" i="1"/>
  <c r="G159" i="1"/>
  <c r="E159" i="1"/>
  <c r="A159" i="1"/>
  <c r="G158" i="1"/>
  <c r="E158" i="1"/>
  <c r="A158" i="1"/>
  <c r="Q157" i="1"/>
  <c r="P157" i="1"/>
  <c r="O157" i="1"/>
  <c r="M157" i="1"/>
  <c r="L157" i="1"/>
  <c r="K157" i="1"/>
  <c r="J157" i="1"/>
  <c r="G157" i="1"/>
  <c r="E157" i="1"/>
  <c r="A157" i="1"/>
  <c r="Q156" i="1"/>
  <c r="P156" i="1"/>
  <c r="O156" i="1"/>
  <c r="M156" i="1"/>
  <c r="L156" i="1"/>
  <c r="K156" i="1"/>
  <c r="J156" i="1"/>
  <c r="G156" i="1"/>
  <c r="E156" i="1"/>
  <c r="A156" i="1"/>
  <c r="Q155" i="1"/>
  <c r="P155" i="1"/>
  <c r="O155" i="1"/>
  <c r="M155" i="1"/>
  <c r="L155" i="1"/>
  <c r="K155" i="1"/>
  <c r="J155" i="1"/>
  <c r="G155" i="1"/>
  <c r="E155" i="1"/>
  <c r="A155" i="1"/>
  <c r="Q154" i="1"/>
  <c r="P154" i="1"/>
  <c r="O154" i="1"/>
  <c r="M154" i="1"/>
  <c r="L154" i="1"/>
  <c r="K154" i="1"/>
  <c r="J154" i="1"/>
  <c r="G154" i="1"/>
  <c r="E154" i="1"/>
  <c r="A154" i="1"/>
  <c r="G153" i="1"/>
  <c r="E153" i="1"/>
  <c r="A153" i="1"/>
  <c r="Q152" i="1"/>
  <c r="P152" i="1"/>
  <c r="O152" i="1"/>
  <c r="M152" i="1"/>
  <c r="L152" i="1"/>
  <c r="K152" i="1"/>
  <c r="J152" i="1"/>
  <c r="G152" i="1"/>
  <c r="E152" i="1"/>
  <c r="A152" i="1"/>
  <c r="Q151" i="1"/>
  <c r="P151" i="1"/>
  <c r="O151" i="1"/>
  <c r="M151" i="1"/>
  <c r="L151" i="1"/>
  <c r="K151" i="1"/>
  <c r="J151" i="1"/>
  <c r="G151" i="1"/>
  <c r="E151" i="1"/>
  <c r="A151" i="1"/>
  <c r="G150" i="1"/>
  <c r="E150" i="1"/>
  <c r="A150" i="1"/>
  <c r="Q149" i="1"/>
  <c r="P149" i="1"/>
  <c r="O149" i="1"/>
  <c r="N149" i="1"/>
  <c r="M149" i="1"/>
  <c r="L149" i="1"/>
  <c r="K149" i="1"/>
  <c r="J149" i="1"/>
  <c r="G149" i="1"/>
  <c r="E149" i="1"/>
  <c r="A149" i="1"/>
  <c r="A148" i="1"/>
  <c r="A147" i="1"/>
  <c r="A146" i="1"/>
  <c r="A145" i="1"/>
  <c r="A144" i="1"/>
  <c r="Q143" i="1"/>
  <c r="A143" i="1"/>
  <c r="A142" i="1"/>
  <c r="Q141" i="1"/>
  <c r="P141" i="1"/>
  <c r="O141" i="1"/>
  <c r="N141" i="1"/>
  <c r="M141" i="1"/>
  <c r="L141" i="1"/>
  <c r="K141" i="1"/>
  <c r="J141" i="1"/>
  <c r="I141" i="1"/>
  <c r="G141" i="1"/>
  <c r="A141" i="1"/>
  <c r="Q140" i="1"/>
  <c r="P140" i="1"/>
  <c r="O140" i="1"/>
  <c r="N140" i="1"/>
  <c r="M140" i="1"/>
  <c r="L140" i="1"/>
  <c r="K140" i="1"/>
  <c r="J140" i="1"/>
  <c r="I140" i="1"/>
  <c r="G140" i="1"/>
  <c r="A140" i="1"/>
  <c r="A139" i="1"/>
  <c r="A138" i="1"/>
  <c r="Q137" i="1"/>
  <c r="P137" i="1"/>
  <c r="O137" i="1"/>
  <c r="M137" i="1"/>
  <c r="L137" i="1"/>
  <c r="K137" i="1"/>
  <c r="J137" i="1"/>
  <c r="G137" i="1"/>
  <c r="A137" i="1"/>
  <c r="Q136" i="1"/>
  <c r="P136" i="1"/>
  <c r="O136" i="1"/>
  <c r="M136" i="1"/>
  <c r="L136" i="1"/>
  <c r="K136" i="1"/>
  <c r="J136" i="1"/>
  <c r="G136" i="1"/>
  <c r="A136" i="1"/>
  <c r="Q135" i="1"/>
  <c r="P135" i="1"/>
  <c r="O135" i="1"/>
  <c r="M135" i="1"/>
  <c r="L135" i="1"/>
  <c r="K135" i="1"/>
  <c r="J135" i="1"/>
  <c r="G135" i="1"/>
  <c r="A135" i="1"/>
  <c r="Q134" i="1"/>
  <c r="P134" i="1"/>
  <c r="O134" i="1"/>
  <c r="M134" i="1"/>
  <c r="L134" i="1"/>
  <c r="K134" i="1"/>
  <c r="J134" i="1"/>
  <c r="G134" i="1"/>
  <c r="A134" i="1"/>
  <c r="Q133" i="1"/>
  <c r="P133" i="1"/>
  <c r="O133" i="1"/>
  <c r="M133" i="1"/>
  <c r="L133" i="1"/>
  <c r="K133" i="1"/>
  <c r="J133" i="1"/>
  <c r="G133" i="1"/>
  <c r="A133" i="1"/>
  <c r="A132" i="1"/>
  <c r="A131" i="1"/>
  <c r="Q130" i="1"/>
  <c r="P130" i="1"/>
  <c r="O130" i="1"/>
  <c r="N130" i="1"/>
  <c r="M130" i="1"/>
  <c r="L130" i="1"/>
  <c r="K130" i="1"/>
  <c r="J130" i="1"/>
  <c r="I130" i="1"/>
  <c r="G130" i="1"/>
  <c r="A130" i="1"/>
  <c r="Q129" i="1"/>
  <c r="P129" i="1"/>
  <c r="O129" i="1"/>
  <c r="N129" i="1"/>
  <c r="M129" i="1"/>
  <c r="L129" i="1"/>
  <c r="K129" i="1"/>
  <c r="J129" i="1"/>
  <c r="I129" i="1"/>
  <c r="G129" i="1"/>
  <c r="A129" i="1"/>
  <c r="Q128" i="1"/>
  <c r="P128" i="1"/>
  <c r="O128" i="1"/>
  <c r="N128" i="1"/>
  <c r="M128" i="1"/>
  <c r="L128" i="1"/>
  <c r="K128" i="1"/>
  <c r="J128" i="1"/>
  <c r="I128" i="1"/>
  <c r="G128" i="1"/>
  <c r="A128" i="1"/>
  <c r="Q127" i="1"/>
  <c r="P127" i="1"/>
  <c r="O127" i="1"/>
  <c r="N127" i="1"/>
  <c r="M127" i="1"/>
  <c r="L127" i="1"/>
  <c r="K127" i="1"/>
  <c r="J127" i="1"/>
  <c r="I127" i="1"/>
  <c r="G127" i="1"/>
  <c r="A127" i="1"/>
  <c r="A126" i="1"/>
  <c r="A125" i="1"/>
  <c r="A124" i="1"/>
  <c r="Q123" i="1"/>
  <c r="A123" i="1"/>
  <c r="A122" i="1"/>
  <c r="Q121" i="1"/>
  <c r="P121" i="1"/>
  <c r="O121" i="1"/>
  <c r="M121" i="1"/>
  <c r="L121" i="1"/>
  <c r="K121" i="1"/>
  <c r="J121" i="1"/>
  <c r="G121" i="1"/>
  <c r="E121" i="1"/>
  <c r="A121" i="1"/>
  <c r="A120" i="1"/>
  <c r="A119" i="1"/>
  <c r="Q118" i="1"/>
  <c r="P118" i="1"/>
  <c r="O118" i="1"/>
  <c r="M118" i="1"/>
  <c r="L118" i="1"/>
  <c r="K118" i="1"/>
  <c r="J118" i="1"/>
  <c r="G118" i="1"/>
  <c r="A118" i="1"/>
  <c r="Q117" i="1"/>
  <c r="P117" i="1"/>
  <c r="O117" i="1"/>
  <c r="M117" i="1"/>
  <c r="L117" i="1"/>
  <c r="K117" i="1"/>
  <c r="J117" i="1"/>
  <c r="G117" i="1"/>
  <c r="E117" i="1"/>
  <c r="A117" i="1"/>
  <c r="Q116" i="1"/>
  <c r="P116" i="1"/>
  <c r="O116" i="1"/>
  <c r="M116" i="1"/>
  <c r="L116" i="1"/>
  <c r="K116" i="1"/>
  <c r="J116" i="1"/>
  <c r="G116" i="1"/>
  <c r="A116" i="1"/>
  <c r="Q115" i="1"/>
  <c r="P115" i="1"/>
  <c r="O115" i="1"/>
  <c r="M115" i="1"/>
  <c r="L115" i="1"/>
  <c r="K115" i="1"/>
  <c r="J115" i="1"/>
  <c r="G115" i="1"/>
  <c r="E115" i="1"/>
  <c r="A115" i="1"/>
  <c r="Q114" i="1"/>
  <c r="P114" i="1"/>
  <c r="O114" i="1"/>
  <c r="M114" i="1"/>
  <c r="L114" i="1"/>
  <c r="K114" i="1"/>
  <c r="J114" i="1"/>
  <c r="G114" i="1"/>
  <c r="A114" i="1"/>
  <c r="Q113" i="1"/>
  <c r="P113" i="1"/>
  <c r="O113" i="1"/>
  <c r="M113" i="1"/>
  <c r="L113" i="1"/>
  <c r="K113" i="1"/>
  <c r="J113" i="1"/>
  <c r="G113" i="1"/>
  <c r="A113" i="1"/>
  <c r="Q112" i="1"/>
  <c r="P112" i="1"/>
  <c r="O112" i="1"/>
  <c r="M112" i="1"/>
  <c r="L112" i="1"/>
  <c r="K112" i="1"/>
  <c r="J112" i="1"/>
  <c r="G112" i="1"/>
  <c r="A112" i="1"/>
  <c r="A111" i="1"/>
  <c r="A110" i="1"/>
  <c r="Q109" i="1"/>
  <c r="P109" i="1"/>
  <c r="O109" i="1"/>
  <c r="M109" i="1"/>
  <c r="L109" i="1"/>
  <c r="K109" i="1"/>
  <c r="J109" i="1"/>
  <c r="G109" i="1"/>
  <c r="A109" i="1"/>
  <c r="Q108" i="1"/>
  <c r="P108" i="1"/>
  <c r="O108" i="1"/>
  <c r="M108" i="1"/>
  <c r="L108" i="1"/>
  <c r="K108" i="1"/>
  <c r="J108" i="1"/>
  <c r="G108" i="1"/>
  <c r="E108" i="1"/>
  <c r="A108" i="1"/>
  <c r="Q107" i="1"/>
  <c r="P107" i="1"/>
  <c r="O107" i="1"/>
  <c r="M107" i="1"/>
  <c r="L107" i="1"/>
  <c r="K107" i="1"/>
  <c r="J107" i="1"/>
  <c r="G107" i="1"/>
  <c r="E107" i="1"/>
  <c r="A107" i="1"/>
  <c r="Q106" i="1"/>
  <c r="P106" i="1"/>
  <c r="O106" i="1"/>
  <c r="M106" i="1"/>
  <c r="L106" i="1"/>
  <c r="K106" i="1"/>
  <c r="J106" i="1"/>
  <c r="G106" i="1"/>
  <c r="A106" i="1"/>
  <c r="A105" i="1"/>
  <c r="A104" i="1"/>
  <c r="Q103" i="1"/>
  <c r="P103" i="1"/>
  <c r="O103" i="1"/>
  <c r="N103" i="1"/>
  <c r="M103" i="1"/>
  <c r="L103" i="1"/>
  <c r="K103" i="1"/>
  <c r="J103" i="1"/>
  <c r="G103" i="1"/>
  <c r="E103" i="1"/>
  <c r="A103" i="1"/>
  <c r="Q102" i="1"/>
  <c r="P102" i="1"/>
  <c r="O102" i="1"/>
  <c r="N102" i="1"/>
  <c r="M102" i="1"/>
  <c r="L102" i="1"/>
  <c r="K102" i="1"/>
  <c r="J102" i="1"/>
  <c r="G102" i="1"/>
  <c r="A102" i="1"/>
  <c r="Q101" i="1"/>
  <c r="P101" i="1"/>
  <c r="O101" i="1"/>
  <c r="M101" i="1"/>
  <c r="L101" i="1"/>
  <c r="K101" i="1"/>
  <c r="J101" i="1"/>
  <c r="G101" i="1"/>
  <c r="E101" i="1"/>
  <c r="A101" i="1"/>
  <c r="Q100" i="1"/>
  <c r="P100" i="1"/>
  <c r="O100" i="1"/>
  <c r="M100" i="1"/>
  <c r="L100" i="1"/>
  <c r="K100" i="1"/>
  <c r="J100" i="1"/>
  <c r="G100" i="1"/>
  <c r="A100" i="1"/>
  <c r="A99" i="1"/>
  <c r="A98" i="1"/>
  <c r="Q97" i="1"/>
  <c r="P97" i="1"/>
  <c r="O97" i="1"/>
  <c r="M97" i="1"/>
  <c r="L97" i="1"/>
  <c r="K97" i="1"/>
  <c r="J97" i="1"/>
  <c r="G97" i="1"/>
  <c r="A97" i="1"/>
  <c r="A96" i="1"/>
  <c r="A95" i="1"/>
  <c r="A94" i="1"/>
  <c r="A93" i="1"/>
  <c r="Q92" i="1"/>
  <c r="A92" i="1"/>
  <c r="A91" i="1"/>
  <c r="Q90" i="1"/>
  <c r="P90" i="1"/>
  <c r="O90" i="1"/>
  <c r="M90" i="1"/>
  <c r="L90" i="1"/>
  <c r="K90" i="1"/>
  <c r="J90" i="1"/>
  <c r="G90" i="1"/>
  <c r="A90" i="1"/>
  <c r="Q89" i="1"/>
  <c r="P89" i="1"/>
  <c r="O89" i="1"/>
  <c r="M89" i="1"/>
  <c r="L89" i="1"/>
  <c r="K89" i="1"/>
  <c r="J89" i="1"/>
  <c r="G89" i="1"/>
  <c r="A89" i="1"/>
  <c r="Q88" i="1"/>
  <c r="P88" i="1"/>
  <c r="O88" i="1"/>
  <c r="M88" i="1"/>
  <c r="L88" i="1"/>
  <c r="K88" i="1"/>
  <c r="J88" i="1"/>
  <c r="G88" i="1"/>
  <c r="A88" i="1"/>
  <c r="Q87" i="1"/>
  <c r="P87" i="1"/>
  <c r="O87" i="1"/>
  <c r="M87" i="1"/>
  <c r="L87" i="1"/>
  <c r="K87" i="1"/>
  <c r="J87" i="1"/>
  <c r="G87" i="1"/>
  <c r="A87" i="1"/>
  <c r="Q86" i="1"/>
  <c r="P86" i="1"/>
  <c r="O86" i="1"/>
  <c r="M86" i="1"/>
  <c r="L86" i="1"/>
  <c r="K86" i="1"/>
  <c r="J86" i="1"/>
  <c r="G86" i="1"/>
  <c r="A86" i="1"/>
  <c r="A85" i="1"/>
  <c r="Q84" i="1"/>
  <c r="P84" i="1"/>
  <c r="O84" i="1"/>
  <c r="M84" i="1"/>
  <c r="L84" i="1"/>
  <c r="K84" i="1"/>
  <c r="J84" i="1"/>
  <c r="G84" i="1"/>
  <c r="A84" i="1"/>
  <c r="Q83" i="1"/>
  <c r="P83" i="1"/>
  <c r="O83" i="1"/>
  <c r="M83" i="1"/>
  <c r="L83" i="1"/>
  <c r="K83" i="1"/>
  <c r="J83" i="1"/>
  <c r="G83" i="1"/>
  <c r="A83" i="1"/>
  <c r="Q82" i="1"/>
  <c r="P82" i="1"/>
  <c r="O82" i="1"/>
  <c r="M82" i="1"/>
  <c r="L82" i="1"/>
  <c r="K82" i="1"/>
  <c r="J82" i="1"/>
  <c r="G82" i="1"/>
  <c r="A82" i="1"/>
  <c r="A81" i="1"/>
  <c r="A80" i="1"/>
  <c r="Q79" i="1"/>
  <c r="P79" i="1"/>
  <c r="O79" i="1"/>
  <c r="M79" i="1"/>
  <c r="L79" i="1"/>
  <c r="K79" i="1"/>
  <c r="J79" i="1"/>
  <c r="G79" i="1"/>
  <c r="E79" i="1"/>
  <c r="A79" i="1"/>
  <c r="G78" i="1"/>
  <c r="E78" i="1"/>
  <c r="A78" i="1"/>
  <c r="Q77" i="1"/>
  <c r="P77" i="1"/>
  <c r="O77" i="1"/>
  <c r="N77" i="1"/>
  <c r="M77" i="1"/>
  <c r="L77" i="1"/>
  <c r="K77" i="1"/>
  <c r="J77" i="1"/>
  <c r="G77" i="1"/>
  <c r="E77" i="1"/>
  <c r="A77" i="1"/>
  <c r="Q76" i="1"/>
  <c r="P76" i="1"/>
  <c r="O76" i="1"/>
  <c r="M76" i="1"/>
  <c r="L76" i="1"/>
  <c r="K76" i="1"/>
  <c r="J76" i="1"/>
  <c r="G76" i="1"/>
  <c r="E76" i="1"/>
  <c r="A76" i="1"/>
  <c r="G75" i="1"/>
  <c r="E75" i="1"/>
  <c r="A75" i="1"/>
  <c r="Q74" i="1"/>
  <c r="P74" i="1"/>
  <c r="O74" i="1"/>
  <c r="N74" i="1"/>
  <c r="M74" i="1"/>
  <c r="L74" i="1"/>
  <c r="K74" i="1"/>
  <c r="J74" i="1"/>
  <c r="G74" i="1"/>
  <c r="A74" i="1"/>
  <c r="A73" i="1"/>
  <c r="A72" i="1"/>
  <c r="Q71" i="1"/>
  <c r="P71" i="1"/>
  <c r="O71" i="1"/>
  <c r="M71" i="1"/>
  <c r="L71" i="1"/>
  <c r="K71" i="1"/>
  <c r="J71" i="1"/>
  <c r="G71" i="1"/>
  <c r="A71" i="1"/>
  <c r="Q70" i="1"/>
  <c r="P70" i="1"/>
  <c r="O70" i="1"/>
  <c r="M70" i="1"/>
  <c r="L70" i="1"/>
  <c r="K70" i="1"/>
  <c r="J70" i="1"/>
  <c r="G70" i="1"/>
  <c r="A70" i="1"/>
  <c r="Q69" i="1"/>
  <c r="P69" i="1"/>
  <c r="O69" i="1"/>
  <c r="N69" i="1"/>
  <c r="M69" i="1"/>
  <c r="L69" i="1"/>
  <c r="K69" i="1"/>
  <c r="J69" i="1"/>
  <c r="G69" i="1"/>
  <c r="A69" i="1"/>
  <c r="A68" i="1"/>
  <c r="A67" i="1"/>
  <c r="Q66" i="1"/>
  <c r="P66" i="1"/>
  <c r="O66" i="1"/>
  <c r="N66" i="1"/>
  <c r="M66" i="1"/>
  <c r="L66" i="1"/>
  <c r="K66" i="1"/>
  <c r="J66" i="1"/>
  <c r="I66" i="1"/>
  <c r="G66" i="1"/>
  <c r="A66" i="1"/>
  <c r="Q65" i="1"/>
  <c r="P65" i="1"/>
  <c r="O65" i="1"/>
  <c r="N65" i="1"/>
  <c r="M65" i="1"/>
  <c r="L65" i="1"/>
  <c r="K65" i="1"/>
  <c r="J65" i="1"/>
  <c r="I65" i="1"/>
  <c r="G65" i="1"/>
  <c r="A65" i="1"/>
  <c r="A64" i="1"/>
  <c r="A63" i="1"/>
  <c r="Q62" i="1"/>
  <c r="P62" i="1"/>
  <c r="O62" i="1"/>
  <c r="M62" i="1"/>
  <c r="L62" i="1"/>
  <c r="K62" i="1"/>
  <c r="J62" i="1"/>
  <c r="G62" i="1"/>
  <c r="A62" i="1"/>
  <c r="Q61" i="1"/>
  <c r="P61" i="1"/>
  <c r="O61" i="1"/>
  <c r="M61" i="1"/>
  <c r="L61" i="1"/>
  <c r="K61" i="1"/>
  <c r="J61" i="1"/>
  <c r="G61" i="1"/>
  <c r="A61" i="1"/>
  <c r="A60" i="1"/>
  <c r="A59" i="1"/>
  <c r="A58" i="1"/>
  <c r="Q57" i="1"/>
  <c r="A57" i="1"/>
  <c r="A56" i="1"/>
  <c r="Q55" i="1"/>
  <c r="P55" i="1"/>
  <c r="O55" i="1"/>
  <c r="M55" i="1"/>
  <c r="L55" i="1"/>
  <c r="K55" i="1"/>
  <c r="J55" i="1"/>
  <c r="G55" i="1"/>
  <c r="E55" i="1"/>
  <c r="A55" i="1"/>
  <c r="Q54" i="1"/>
  <c r="P54" i="1"/>
  <c r="O54" i="1"/>
  <c r="M54" i="1"/>
  <c r="L54" i="1"/>
  <c r="K54" i="1"/>
  <c r="J54" i="1"/>
  <c r="G54" i="1"/>
  <c r="E54" i="1"/>
  <c r="A54" i="1"/>
  <c r="Q53" i="1"/>
  <c r="P53" i="1"/>
  <c r="O53" i="1"/>
  <c r="M53" i="1"/>
  <c r="L53" i="1"/>
  <c r="K53" i="1"/>
  <c r="J53" i="1"/>
  <c r="G53" i="1"/>
  <c r="E53" i="1"/>
  <c r="A53" i="1"/>
  <c r="Q52" i="1"/>
  <c r="P52" i="1"/>
  <c r="O52" i="1"/>
  <c r="M52" i="1"/>
  <c r="L52" i="1"/>
  <c r="K52" i="1"/>
  <c r="J52" i="1"/>
  <c r="G52" i="1"/>
  <c r="A52" i="1"/>
  <c r="A51" i="1"/>
  <c r="A50" i="1"/>
  <c r="A49" i="1"/>
  <c r="Q48" i="1"/>
  <c r="A48" i="1"/>
  <c r="A47" i="1"/>
  <c r="Q46" i="1"/>
  <c r="P46" i="1"/>
  <c r="O46" i="1"/>
  <c r="M46" i="1"/>
  <c r="L46" i="1"/>
  <c r="K46" i="1"/>
  <c r="J46" i="1"/>
  <c r="G46" i="1"/>
  <c r="E46" i="1"/>
  <c r="A46" i="1"/>
  <c r="A45" i="1"/>
  <c r="Q44" i="1"/>
  <c r="P44" i="1"/>
  <c r="O44" i="1"/>
  <c r="M44" i="1"/>
  <c r="L44" i="1"/>
  <c r="K44" i="1"/>
  <c r="J44" i="1"/>
  <c r="G44" i="1"/>
  <c r="E44" i="1"/>
  <c r="A44" i="1"/>
  <c r="Q43" i="1"/>
  <c r="P43" i="1"/>
  <c r="O43" i="1"/>
  <c r="M43" i="1"/>
  <c r="L43" i="1"/>
  <c r="K43" i="1"/>
  <c r="J43" i="1"/>
  <c r="G43" i="1"/>
  <c r="E43" i="1"/>
  <c r="A43" i="1"/>
  <c r="Q42" i="1"/>
  <c r="P42" i="1"/>
  <c r="O42" i="1"/>
  <c r="M42" i="1"/>
  <c r="L42" i="1"/>
  <c r="K42" i="1"/>
  <c r="J42" i="1"/>
  <c r="G42" i="1"/>
  <c r="A42" i="1"/>
  <c r="Q41" i="1"/>
  <c r="P41" i="1"/>
  <c r="O41" i="1"/>
  <c r="M41" i="1"/>
  <c r="L41" i="1"/>
  <c r="K41" i="1"/>
  <c r="J41" i="1"/>
  <c r="G41" i="1"/>
  <c r="E41" i="1"/>
  <c r="A41" i="1"/>
  <c r="A40" i="1"/>
  <c r="A39" i="1"/>
  <c r="Q38" i="1"/>
  <c r="P38" i="1"/>
  <c r="O38" i="1"/>
  <c r="M38" i="1"/>
  <c r="L38" i="1"/>
  <c r="K38" i="1"/>
  <c r="J38" i="1"/>
  <c r="G38" i="1"/>
  <c r="E38" i="1"/>
  <c r="A38" i="1"/>
  <c r="Q37" i="1"/>
  <c r="P37" i="1"/>
  <c r="O37" i="1"/>
  <c r="M37" i="1"/>
  <c r="L37" i="1"/>
  <c r="K37" i="1"/>
  <c r="J37" i="1"/>
  <c r="G37" i="1"/>
  <c r="E37" i="1"/>
  <c r="A37" i="1"/>
  <c r="Q36" i="1"/>
  <c r="P36" i="1"/>
  <c r="O36" i="1"/>
  <c r="M36" i="1"/>
  <c r="L36" i="1"/>
  <c r="K36" i="1"/>
  <c r="J36" i="1"/>
  <c r="G36" i="1"/>
  <c r="E36" i="1"/>
  <c r="A36" i="1"/>
  <c r="Q35" i="1"/>
  <c r="P35" i="1"/>
  <c r="O35" i="1"/>
  <c r="M35" i="1"/>
  <c r="L35" i="1"/>
  <c r="K35" i="1"/>
  <c r="J35" i="1"/>
  <c r="G35" i="1"/>
  <c r="E35" i="1"/>
  <c r="A35" i="1"/>
  <c r="A34" i="1"/>
  <c r="A33" i="1"/>
  <c r="A32" i="1"/>
  <c r="Q31" i="1"/>
  <c r="P31" i="1"/>
  <c r="O31" i="1"/>
  <c r="M31" i="1"/>
  <c r="L31" i="1"/>
  <c r="K31" i="1"/>
  <c r="J31" i="1"/>
  <c r="G31" i="1"/>
  <c r="E31" i="1"/>
  <c r="A31" i="1"/>
  <c r="Q30" i="1"/>
  <c r="P30" i="1"/>
  <c r="O30" i="1"/>
  <c r="M30" i="1"/>
  <c r="L30" i="1"/>
  <c r="K30" i="1"/>
  <c r="J30" i="1"/>
  <c r="G30" i="1"/>
  <c r="E30" i="1"/>
  <c r="A30" i="1"/>
  <c r="Q29" i="1"/>
  <c r="P29" i="1"/>
  <c r="O29" i="1"/>
  <c r="M29" i="1"/>
  <c r="L29" i="1"/>
  <c r="K29" i="1"/>
  <c r="J29" i="1"/>
  <c r="G29" i="1"/>
  <c r="E29" i="1"/>
  <c r="A29" i="1"/>
  <c r="Q28" i="1"/>
  <c r="P28" i="1"/>
  <c r="O28" i="1"/>
  <c r="M28" i="1"/>
  <c r="L28" i="1"/>
  <c r="K28" i="1"/>
  <c r="J28" i="1"/>
  <c r="G28" i="1"/>
  <c r="E28" i="1"/>
  <c r="A28" i="1"/>
  <c r="Q27" i="1"/>
  <c r="P27" i="1"/>
  <c r="O27" i="1"/>
  <c r="M27" i="1"/>
  <c r="L27" i="1"/>
  <c r="K27" i="1"/>
  <c r="J27" i="1"/>
  <c r="G27" i="1"/>
  <c r="E27" i="1"/>
  <c r="A27" i="1"/>
  <c r="Q26" i="1"/>
  <c r="P26" i="1"/>
  <c r="O26" i="1"/>
  <c r="M26" i="1"/>
  <c r="L26" i="1"/>
  <c r="K26" i="1"/>
  <c r="J26" i="1"/>
  <c r="G26" i="1"/>
  <c r="E26" i="1"/>
  <c r="A26" i="1"/>
  <c r="A25" i="1"/>
  <c r="Q24" i="1"/>
  <c r="P24" i="1"/>
  <c r="O24" i="1"/>
  <c r="M24" i="1"/>
  <c r="L24" i="1"/>
  <c r="K24" i="1"/>
  <c r="J24" i="1"/>
  <c r="G24" i="1"/>
  <c r="E24" i="1"/>
  <c r="A24" i="1"/>
  <c r="Q23" i="1"/>
  <c r="P23" i="1"/>
  <c r="O23" i="1"/>
  <c r="M23" i="1"/>
  <c r="L23" i="1"/>
  <c r="K23" i="1"/>
  <c r="J23" i="1"/>
  <c r="G23" i="1"/>
  <c r="E23" i="1"/>
  <c r="A23" i="1"/>
  <c r="Q22" i="1"/>
  <c r="P22" i="1"/>
  <c r="O22" i="1"/>
  <c r="M22" i="1"/>
  <c r="L22" i="1"/>
  <c r="K22" i="1"/>
  <c r="J22" i="1"/>
  <c r="G22" i="1"/>
  <c r="E22" i="1"/>
  <c r="A22" i="1"/>
  <c r="Q21" i="1"/>
  <c r="P21" i="1"/>
  <c r="O21" i="1"/>
  <c r="M21" i="1"/>
  <c r="L21" i="1"/>
  <c r="K21" i="1"/>
  <c r="J21" i="1"/>
  <c r="G21" i="1"/>
  <c r="E21" i="1"/>
  <c r="A21" i="1"/>
  <c r="A20" i="1"/>
  <c r="A19" i="1"/>
  <c r="A18" i="1"/>
  <c r="A17" i="1"/>
  <c r="Q16" i="1"/>
  <c r="A16" i="1"/>
  <c r="A15" i="1"/>
  <c r="P14" i="1"/>
  <c r="O14" i="1"/>
  <c r="M14" i="1"/>
  <c r="L14" i="1"/>
  <c r="J14" i="1"/>
  <c r="G14" i="1"/>
  <c r="A14" i="1"/>
  <c r="P13" i="1"/>
  <c r="O13" i="1"/>
  <c r="M13" i="1"/>
  <c r="L13" i="1"/>
  <c r="J13" i="1"/>
  <c r="G13" i="1"/>
  <c r="A13" i="1"/>
  <c r="P12" i="1"/>
  <c r="O12" i="1"/>
  <c r="M12" i="1"/>
  <c r="L12" i="1"/>
  <c r="J12" i="1"/>
  <c r="G12" i="1"/>
  <c r="A12" i="1"/>
  <c r="P11" i="1"/>
  <c r="O11" i="1"/>
  <c r="M11" i="1"/>
  <c r="L11" i="1"/>
  <c r="J11" i="1"/>
  <c r="G11" i="1"/>
  <c r="A11" i="1"/>
  <c r="P10" i="1"/>
  <c r="O10" i="1"/>
  <c r="M10" i="1"/>
  <c r="L10" i="1"/>
  <c r="J10" i="1"/>
  <c r="G10" i="1"/>
  <c r="A10" i="1"/>
  <c r="P9" i="1"/>
  <c r="O9" i="1"/>
  <c r="M9" i="1"/>
  <c r="L9" i="1"/>
  <c r="J9" i="1"/>
  <c r="G9" i="1"/>
  <c r="A9" i="1"/>
  <c r="P8" i="1"/>
  <c r="O8" i="1"/>
  <c r="M8" i="1"/>
  <c r="L8" i="1"/>
  <c r="J8" i="1"/>
  <c r="G8" i="1"/>
  <c r="A8" i="1"/>
  <c r="C20" i="4"/>
  <c r="C19" i="4"/>
  <c r="C18" i="4"/>
  <c r="C17" i="4"/>
  <c r="C16" i="4"/>
  <c r="C14" i="4"/>
  <c r="C13" i="4"/>
  <c r="C12" i="4"/>
  <c r="C11" i="4"/>
  <c r="C10" i="4"/>
  <c r="C9" i="4"/>
  <c r="C8" i="4"/>
  <c r="C7" i="4"/>
  <c r="C6" i="4"/>
  <c r="C5" i="4"/>
  <c r="C4" i="4"/>
</calcChain>
</file>

<file path=xl/sharedStrings.xml><?xml version="1.0" encoding="utf-8"?>
<sst xmlns="http://schemas.openxmlformats.org/spreadsheetml/2006/main" count="549" uniqueCount="307">
  <si>
    <t>GENERAL SUMMARY</t>
  </si>
  <si>
    <t>DIVISION NO.</t>
  </si>
  <si>
    <t>DESCRIPTION</t>
  </si>
  <si>
    <t>TOTAL DIV. COST</t>
  </si>
  <si>
    <t>General Requirments</t>
  </si>
  <si>
    <t>Concrete</t>
  </si>
  <si>
    <t>Masonry</t>
  </si>
  <si>
    <t>Wood &amp; Plastics</t>
  </si>
  <si>
    <t>Thermal &amp; Moisture Protection</t>
  </si>
  <si>
    <t>Opening</t>
  </si>
  <si>
    <t>Finishes</t>
  </si>
  <si>
    <t>Specialties</t>
  </si>
  <si>
    <t>Equipmets</t>
  </si>
  <si>
    <t>Furnishing</t>
  </si>
  <si>
    <t>TOTAL TRADE COST</t>
  </si>
  <si>
    <t>CONTINGENCY</t>
  </si>
  <si>
    <t>OVERHEAD &amp; PROFIT(10%)</t>
  </si>
  <si>
    <t>TAX (8.38%)</t>
  </si>
  <si>
    <t>PERFORMANCE AND PAYMENT BONDS</t>
  </si>
  <si>
    <t>TOTAL BASEBID</t>
  </si>
  <si>
    <t>DETAILED BREAKDOWN OF ITEMS</t>
  </si>
  <si>
    <t>Project Name</t>
  </si>
  <si>
    <t>Project Address</t>
  </si>
  <si>
    <t>Scope:</t>
  </si>
  <si>
    <t>COMPLETE TAKEOFF</t>
  </si>
  <si>
    <t>S#</t>
  </si>
  <si>
    <t>Dwg.</t>
  </si>
  <si>
    <t>CSI NO</t>
  </si>
  <si>
    <t>QTY.</t>
  </si>
  <si>
    <t>Wastage</t>
  </si>
  <si>
    <t>Qty w/ Waste</t>
  </si>
  <si>
    <t>UNIT</t>
  </si>
  <si>
    <t>UNIT LABOR HOUR</t>
  </si>
  <si>
    <t>TOTAL LABOR HOUR</t>
  </si>
  <si>
    <t>LABOR WAGE/ HOUR</t>
  </si>
  <si>
    <t>UNIT LABOR COST</t>
  </si>
  <si>
    <t>TOTAL LABOR COST</t>
  </si>
  <si>
    <t>UNIT MATERIAL  COST</t>
  </si>
  <si>
    <t>TOTAL MATERIAL COST</t>
  </si>
  <si>
    <t>UNIT PRICE (Labor &amp; Material)</t>
  </si>
  <si>
    <t>TRADE TOTAL</t>
  </si>
  <si>
    <t>DIVISION 01-GENERAL REQUIREMENTS</t>
  </si>
  <si>
    <t>Permits</t>
  </si>
  <si>
    <t>LS</t>
  </si>
  <si>
    <t>Supervision and Coordination</t>
  </si>
  <si>
    <t>Submittals and Shop drawings</t>
  </si>
  <si>
    <t>Final Cleaning</t>
  </si>
  <si>
    <t>Mobilization Costs</t>
  </si>
  <si>
    <t>Temporary Control &amp; Facilities</t>
  </si>
  <si>
    <t>Scaffolding</t>
  </si>
  <si>
    <t>NOTE: We Have Took The 10% Of Base Bid Amount For General Requirements.</t>
  </si>
  <si>
    <t>SUBTOTAL</t>
  </si>
  <si>
    <t>DIVISION 03- CONCRETE</t>
  </si>
  <si>
    <t>FOOTING</t>
  </si>
  <si>
    <t>FS20: 2'-0" X 2'-0" X 1'-0" CONCRETE FOOTING</t>
  </si>
  <si>
    <t>EA</t>
  </si>
  <si>
    <t>CONCRETE</t>
  </si>
  <si>
    <t>CY</t>
  </si>
  <si>
    <t>#4 BARS</t>
  </si>
  <si>
    <t>LBS</t>
  </si>
  <si>
    <t>FORMWORK</t>
  </si>
  <si>
    <t>SF</t>
  </si>
  <si>
    <t>EXCAVATION</t>
  </si>
  <si>
    <t>FC10: 12"X12" CONCRETE FOOTING</t>
  </si>
  <si>
    <t>LF</t>
  </si>
  <si>
    <t>#4 DOWELS @ 48" O.C.</t>
  </si>
  <si>
    <t>BACKFILL</t>
  </si>
  <si>
    <t>CONCRETE PIER</t>
  </si>
  <si>
    <t>6120: 2'-0" X 2'-0" X 1'-6" CONCRETE PIER</t>
  </si>
  <si>
    <t>#5 BARS</t>
  </si>
  <si>
    <t>#3 TIES</t>
  </si>
  <si>
    <t>SLAB</t>
  </si>
  <si>
    <t>4" CONCRETE SLAB</t>
  </si>
  <si>
    <t>10 MIL VISQUEEN</t>
  </si>
  <si>
    <t>4" TYPE II AGGRAGATE BASE</t>
  </si>
  <si>
    <t>#3 BARS @ 18" O.C.</t>
  </si>
  <si>
    <t>(ALT: 6X6-W2.1XW2.1 FOR REINFORCEMENT)</t>
  </si>
  <si>
    <t>0.19SF THICKENED EDGE</t>
  </si>
  <si>
    <t>DIVISION 04-MASONRY</t>
  </si>
  <si>
    <t>VENEER</t>
  </si>
  <si>
    <t>STONE VENEER</t>
  </si>
  <si>
    <t>MORTAR SETTING BED</t>
  </si>
  <si>
    <t>METAL LATH</t>
  </si>
  <si>
    <t>BUILDING PAPER OVER SISAL KRAFT</t>
  </si>
  <si>
    <t>DIVISION 06- WOOD, PLASTIC &amp; COMPOSITES</t>
  </si>
  <si>
    <t>ROUGH CARPENTRY</t>
  </si>
  <si>
    <t>2x6 Blocking</t>
  </si>
  <si>
    <t>2X6 NAILER</t>
  </si>
  <si>
    <t>WOOD POST &amp; STUDS</t>
  </si>
  <si>
    <t>(2) 2X6 - (9'-0" H)</t>
  </si>
  <si>
    <t>(3) 2X6 - (9'-0" H)</t>
  </si>
  <si>
    <t>WOOD HEADERS &amp; BEAMS</t>
  </si>
  <si>
    <t>6X8 BEAM</t>
  </si>
  <si>
    <t>6X12 BEAM</t>
  </si>
  <si>
    <t>6X6 HEADER</t>
  </si>
  <si>
    <t>SHEATHING</t>
  </si>
  <si>
    <t>15/32 APA RATED ROOF SHEATHING</t>
  </si>
  <si>
    <t>4X8 NO OF  SHEETS</t>
  </si>
  <si>
    <t>8d Nails At Edge Spacing = 6" O.C. &amp; Field Spacing = 12" O.C.</t>
  </si>
  <si>
    <t>SHEAR WALL SHEATHING: 3/8" PLYWOOD SHEATHING</t>
  </si>
  <si>
    <t>WOODEN FRAMING</t>
  </si>
  <si>
    <t>ROOF TRUSSES @ 24" O.C.
PITCH (4/12)</t>
  </si>
  <si>
    <t>GIRDER TRUSS</t>
  </si>
  <si>
    <t>HIP TRUSS</t>
  </si>
  <si>
    <t>HARDWARE</t>
  </si>
  <si>
    <t xml:space="preserve">Simpson CMSTC16 </t>
  </si>
  <si>
    <t>Simpson H1 clip</t>
  </si>
  <si>
    <t>Simpson LTP4</t>
  </si>
  <si>
    <t>Simpson DSC5</t>
  </si>
  <si>
    <t>SIMPSON H2.5</t>
  </si>
  <si>
    <t>DIVISION 07-THERMAL &amp; MOISTURE PROTECTION</t>
  </si>
  <si>
    <t>INSULATION</t>
  </si>
  <si>
    <t>ROOF INSULATION:</t>
  </si>
  <si>
    <t>R-38 INSULATION (assumed)</t>
  </si>
  <si>
    <t>ROOFING &amp; ACCESSORIES</t>
  </si>
  <si>
    <t>ROOFING:</t>
  </si>
  <si>
    <t>CONCRETE TILE ROOF OVER BATTEN PER MANUFACTURER</t>
  </si>
  <si>
    <t>#30 FELT BARRIER</t>
  </si>
  <si>
    <t>EAVE RISER/BIRD STOP w/ WEEP HOLES PER ROOF TILE MF'R</t>
  </si>
  <si>
    <t>RIDGE/HIP TILE</t>
  </si>
  <si>
    <t>FLASHINGS</t>
  </si>
  <si>
    <t>26 GA GALV. MTL. VALLEY FLASHING</t>
  </si>
  <si>
    <t>36" WIDE FLASHING UNDERLAYMENT</t>
  </si>
  <si>
    <t>HIP/RIDGE FLASHING</t>
  </si>
  <si>
    <t>METAL DRIP EDGE</t>
  </si>
  <si>
    <t>WALL &amp; ROOF ACCESSORIES</t>
  </si>
  <si>
    <t>2X6 FASCIA BOARD</t>
  </si>
  <si>
    <t>(1'-0") STUCCO SOFFIT OVER 1/2" OSB SHEATHING</t>
  </si>
  <si>
    <t>SOFFIT VENT</t>
  </si>
  <si>
    <t>FOAM CORBEL</t>
  </si>
  <si>
    <t>METAL GUTEER</t>
  </si>
  <si>
    <t>METAL DOWNSPOUT</t>
  </si>
  <si>
    <t>CONCRETE SPLASH BLOCK</t>
  </si>
  <si>
    <t>SEALANTS</t>
  </si>
  <si>
    <t>SEALANT &amp; BACKER ROD</t>
  </si>
  <si>
    <t>DIVISION 08- OPENINGS</t>
  </si>
  <si>
    <t>DOORS</t>
  </si>
  <si>
    <t>(10'-0" X 7'-0") FOUR PANEL METAL &amp; GLASS SLIDING DOOR W/ FRAME</t>
  </si>
  <si>
    <t>(3'-0" X7'-0") SINGLE LEAF WOOD DOOR W/ FRAME</t>
  </si>
  <si>
    <t>(3'-0" X7'-0") SINGLE LEAF HOLLOW CORE METAL DOOR W/ FRAME</t>
  </si>
  <si>
    <t>(3'-0" X7'-0") SINGLE LEAF WOOD POCKET DOOR W/ FRAME</t>
  </si>
  <si>
    <t>HARDWARE SET</t>
  </si>
  <si>
    <t>HANDLE: LEVER</t>
  </si>
  <si>
    <t>HANDLE: PULL</t>
  </si>
  <si>
    <t>LOCK: LATCH</t>
  </si>
  <si>
    <t>LOCK: KEY W3 DEADBOLT</t>
  </si>
  <si>
    <t>LOCK: PRIVACY LOCK</t>
  </si>
  <si>
    <t>WINDOWS</t>
  </si>
  <si>
    <t>(2'-0"X4'-0") SINGLE HUNG VIYNL FRAME WINDOW</t>
  </si>
  <si>
    <t>(5'-0"X4'-0") VIYNL FRAME SLIDNING WINDOW</t>
  </si>
  <si>
    <t>DIVISION 09- FINISHES</t>
  </si>
  <si>
    <t/>
  </si>
  <si>
    <t>WALLS</t>
  </si>
  <si>
    <t>EXTERIOR WALLS</t>
  </si>
  <si>
    <t>2X6 EXTERIOR WALL</t>
  </si>
  <si>
    <t>3/8" PLYWOOD SHEATHING</t>
  </si>
  <si>
    <t>8D NAILS AT EDGE SPACING = 6" O.C. &amp; FIELD SPACING = 12" O.C.</t>
  </si>
  <si>
    <t>5/8" GYPSUM BOARD</t>
  </si>
  <si>
    <t>DRYWALL SCREWS</t>
  </si>
  <si>
    <t>TAPE JOINTS</t>
  </si>
  <si>
    <t>MUDDING</t>
  </si>
  <si>
    <t>LBs</t>
  </si>
  <si>
    <t>5/8" MR GYPSUM BOARD</t>
  </si>
  <si>
    <t>2X6 WOOD STUD @ 16" O.C.</t>
  </si>
  <si>
    <t>2X6 TOP PLATE &amp; MID SPAN BLOCKING</t>
  </si>
  <si>
    <t>2X6 P.T. BOTTOM PLATE</t>
  </si>
  <si>
    <t>SEALENT</t>
  </si>
  <si>
    <t>2X4 INTERIOR WALL</t>
  </si>
  <si>
    <t>5/8" MR GYSPUM BOARD</t>
  </si>
  <si>
    <t>5/8" TILE BACKER BOARD</t>
  </si>
  <si>
    <t>2X4 WOOD STUD @ 16" O.C.</t>
  </si>
  <si>
    <t>2X4 TOP PLATE &amp; MID SPAN BLOCKING</t>
  </si>
  <si>
    <t>2X4 P.T. BOTTOM PLATE</t>
  </si>
  <si>
    <t>FLOORING</t>
  </si>
  <si>
    <t>LVT FLOORING (assumed)</t>
  </si>
  <si>
    <t>TILE FLOOR (assumed)</t>
  </si>
  <si>
    <t>BASE &amp; TRIMS</t>
  </si>
  <si>
    <t>DOOR TRIMS</t>
  </si>
  <si>
    <t>RUBBER WALL BASE (assumed)</t>
  </si>
  <si>
    <t>CEILING</t>
  </si>
  <si>
    <t>5/8" GYPSUM BOARD CEILING</t>
  </si>
  <si>
    <t>5/8" MOISTURE RESISTANT GYPSUM CEILING</t>
  </si>
  <si>
    <t>PAINT ON GYPSUM BOARD CEILING</t>
  </si>
  <si>
    <t>WALL FINISH</t>
  </si>
  <si>
    <t>WALL PAINT</t>
  </si>
  <si>
    <t xml:space="preserve">WALL TILE </t>
  </si>
  <si>
    <t>EXTERIOR FINISHES</t>
  </si>
  <si>
    <t>EXTERIOR STUCCO SYSTEM
FINISH COAT
PRIMER
BROWN COAT
SCRATCH COAT - 
METAL LATH 
1" INSULATION BD. o/ BLDG. PAPER &amp; VAPOR RETARDER</t>
  </si>
  <si>
    <t>EXTERIOR STUCCO SOFFIT SYSTEM
FINISH COAT
PRIMER
BROWN COAT
SCRATCH COAT - 
METAL LATH 
1" INSULATION BD. o/ BLDG. PAPER &amp; VAPOR RETARDER</t>
  </si>
  <si>
    <t>3 1/2" STUCCO TRIM</t>
  </si>
  <si>
    <t>METAL HEAD FLASHING</t>
  </si>
  <si>
    <t>SILL PAN FLASHING</t>
  </si>
  <si>
    <t>THRU WALL FLASHING</t>
  </si>
  <si>
    <t>CORROSION RESISTANT "J" SCREED w/ WEEPHOLES</t>
  </si>
  <si>
    <t>MISC. PAINT</t>
  </si>
  <si>
    <t>SINGLE LEAF DOOR PAINT</t>
  </si>
  <si>
    <t>PAINT DOOR TRIM</t>
  </si>
  <si>
    <t>DIVISION 10- SPECIALTIES</t>
  </si>
  <si>
    <t>SPECIALTIES</t>
  </si>
  <si>
    <t>ELECTRIC FIREPLACE</t>
  </si>
  <si>
    <t>TOILET ACCESSORIES</t>
  </si>
  <si>
    <t>COAT HOOK</t>
  </si>
  <si>
    <t>MIRROR</t>
  </si>
  <si>
    <t>SOAP DISPENSER</t>
  </si>
  <si>
    <t>TOWEL PAPER DISPENSER</t>
  </si>
  <si>
    <t>TISSUE PAPER DISPENSER</t>
  </si>
  <si>
    <t>(6' L) SHOWER CUTRAIN W/ ROD</t>
  </si>
  <si>
    <t>36" GRAB BAR</t>
  </si>
  <si>
    <t>42" GRAB BAR</t>
  </si>
  <si>
    <t>24" GRAB BAR</t>
  </si>
  <si>
    <t>18" GRAB BAR</t>
  </si>
  <si>
    <t>DIVISION 11-EQUIPMENTS</t>
  </si>
  <si>
    <t>EQUIPMENTS</t>
  </si>
  <si>
    <t>TV</t>
  </si>
  <si>
    <t>STACKED WASHER/DRYER</t>
  </si>
  <si>
    <t>REFRIGERATOR</t>
  </si>
  <si>
    <t>RANGE</t>
  </si>
  <si>
    <t>DISHWASHER</t>
  </si>
  <si>
    <t>DIVISION 12-FURNISHING</t>
  </si>
  <si>
    <t>CASEWORK</t>
  </si>
  <si>
    <t>(1'-0" D) BUILT-IN CASE WORK</t>
  </si>
  <si>
    <t>(2'-0" D) CLOSET ORGANIZATION SYSTEM</t>
  </si>
  <si>
    <t>(2'-2" D X 3'-0") VANITY + COUNTERTOP</t>
  </si>
  <si>
    <t>(2'-2" D X 3'-0" H) KITCHEN BASE CABINETS + COUNTERTOP</t>
  </si>
  <si>
    <t>(1'-0" X 2'-0") WALL CABINETS</t>
  </si>
  <si>
    <t>(5'-0" X 3'-2"X3'-0") KITCHEN ISLAND</t>
  </si>
  <si>
    <t>(2'-0" W X 2'-2" D) PANTRY</t>
  </si>
  <si>
    <t>COUNTERTOP</t>
  </si>
  <si>
    <t>(4" HIGH ) BACK SPLASH</t>
  </si>
  <si>
    <t>VANITY TOP</t>
  </si>
  <si>
    <t>KITCHEN ISALND TOP</t>
  </si>
  <si>
    <t>TOTAL LABOR HOURS</t>
  </si>
  <si>
    <t>TOTAL AMOUNT</t>
  </si>
  <si>
    <t>CONTIGENCIES (5%)</t>
  </si>
  <si>
    <t>OVERHEAD &amp; PROFIT (10%)</t>
  </si>
  <si>
    <t>Labor Type</t>
  </si>
  <si>
    <t>Labor Rate</t>
  </si>
  <si>
    <t>Carpenter</t>
  </si>
  <si>
    <t>CARP</t>
  </si>
  <si>
    <t>Plumbing</t>
  </si>
  <si>
    <t>Plum</t>
  </si>
  <si>
    <t>Mechanical</t>
  </si>
  <si>
    <t>Mech</t>
  </si>
  <si>
    <t>Electrical</t>
  </si>
  <si>
    <t>Elec</t>
  </si>
  <si>
    <t>Earthwork</t>
  </si>
  <si>
    <t>Q14C</t>
  </si>
  <si>
    <t>Drywaller</t>
  </si>
  <si>
    <t>Finisher</t>
  </si>
  <si>
    <t>Painting</t>
  </si>
  <si>
    <t>Painter</t>
  </si>
  <si>
    <t>Tile Contractor</t>
  </si>
  <si>
    <t>Tilf</t>
  </si>
  <si>
    <t>CMU/Stone</t>
  </si>
  <si>
    <t>D8</t>
  </si>
  <si>
    <t>B14S</t>
  </si>
  <si>
    <t>Metal</t>
  </si>
  <si>
    <t>Steel</t>
  </si>
  <si>
    <t>Roofing</t>
  </si>
  <si>
    <t>Roofer</t>
  </si>
  <si>
    <t>Genral Labor</t>
  </si>
  <si>
    <t>Labor</t>
  </si>
  <si>
    <t>Exterior Improvement</t>
  </si>
  <si>
    <t>B15S</t>
  </si>
  <si>
    <t>Each/Count</t>
  </si>
  <si>
    <t>Linear Footage</t>
  </si>
  <si>
    <t>Square Footage</t>
  </si>
  <si>
    <t>Square Yard</t>
  </si>
  <si>
    <t>SY</t>
  </si>
  <si>
    <t>Cubic Yard</t>
  </si>
  <si>
    <t>Lumpsum</t>
  </si>
  <si>
    <t>Survery</t>
  </si>
  <si>
    <t>Survey</t>
  </si>
  <si>
    <t>Stair Riser</t>
  </si>
  <si>
    <t>RISER</t>
  </si>
  <si>
    <t>Blocks Count</t>
  </si>
  <si>
    <t>BLOCKS</t>
  </si>
  <si>
    <t>Bags of Pre-Mix Mortar</t>
  </si>
  <si>
    <t>BAGS</t>
  </si>
  <si>
    <t>Linear Footage of Wall</t>
  </si>
  <si>
    <t>LF.Wall</t>
  </si>
  <si>
    <t>Pounds</t>
  </si>
  <si>
    <t>Pieces</t>
  </si>
  <si>
    <t>PCs</t>
  </si>
  <si>
    <t>Location</t>
  </si>
  <si>
    <t>LOC</t>
  </si>
  <si>
    <t>Bundle</t>
  </si>
  <si>
    <t>Rolls</t>
  </si>
  <si>
    <t>ROLLS</t>
  </si>
  <si>
    <t>Boxes</t>
  </si>
  <si>
    <t>BOX</t>
  </si>
  <si>
    <t>Holeses</t>
  </si>
  <si>
    <t>Holes</t>
  </si>
  <si>
    <t>PC</t>
  </si>
  <si>
    <t>Tubes</t>
  </si>
  <si>
    <t>Tube</t>
  </si>
  <si>
    <t>Gallons</t>
  </si>
  <si>
    <t>GA</t>
  </si>
  <si>
    <t>Square of Roofing</t>
  </si>
  <si>
    <t>SQ</t>
  </si>
  <si>
    <t>N/A</t>
  </si>
  <si>
    <t>NOTE:</t>
  </si>
  <si>
    <t>Prevailing wages have been included in this estimate in compliance with the Davis-Bacon Act.</t>
  </si>
  <si>
    <t>Material pricing is based on current market rates sourced from reputable online platforms and suppliers.</t>
  </si>
  <si>
    <t>Please note that actual costs may vary depending on site-specific conditions, unforeseen circumstances, or changes in market conditions.</t>
  </si>
  <si>
    <t>XYZ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</si>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</sst>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00000"/>
    <numFmt numFmtId="166" formatCode="0.0"/>
    <numFmt numFmtId="167" formatCode="0.000"/>
    <numFmt numFmtId="168" formatCode="_(&quot;$&quot;* #,##0.0_);_(&quot;$&quot;* \(#,##0.0\);_(&quot;$&quot;* &quot;-&quot;??_);_(@_)"/>
    <numFmt numFmtId="169" formatCode="0.0%"/>
    <numFmt numFmtId="170" formatCode="_-[$$-409]* #,##0_ ;_-[$$-409]* \-#,##0\ ;_-[$$-409]* &quot;-&quot;??_ ;_-@_ "/>
    <numFmt numFmtId="171" formatCode="_-* #,##0.00_-;\-* #,##0.00_-;_-* &quot;-&quot;??_-;_-@_-"/>
  </numFmts>
  <fonts count="40">
    <font>
      <sz val="11"/>
      <color theme="1"/>
      <name val="Tw Cen MT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i/>
      <sz val="11"/>
      <color theme="1"/>
      <name val="Calibri"/>
      <charset val="134"/>
    </font>
    <font>
      <b/>
      <i/>
      <sz val="12"/>
      <color theme="1"/>
      <name val="Calibri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sz val="12"/>
      <color theme="1"/>
      <name val="Calibri"/>
      <charset val="134"/>
    </font>
    <font>
      <sz val="12"/>
      <color indexed="8"/>
      <name val="Calibri"/>
      <charset val="134"/>
    </font>
    <font>
      <sz val="12"/>
      <color rgb="FF000000"/>
      <name val="Calibri"/>
      <charset val="134"/>
    </font>
    <font>
      <b/>
      <sz val="14"/>
      <color theme="0"/>
      <name val="Calibri"/>
      <charset val="134"/>
    </font>
    <font>
      <b/>
      <sz val="14"/>
      <color theme="1"/>
      <name val="Calibri"/>
      <charset val="134"/>
    </font>
    <font>
      <sz val="12"/>
      <name val="Calibri"/>
      <charset val="134"/>
    </font>
    <font>
      <b/>
      <sz val="14"/>
      <name val="Calibri"/>
      <charset val="134"/>
    </font>
    <font>
      <sz val="12"/>
      <color rgb="FFFFFFFF"/>
      <name val="Calibri"/>
      <charset val="134"/>
    </font>
    <font>
      <b/>
      <sz val="12"/>
      <color rgb="FFFFFFFF"/>
      <name val="Calibri"/>
      <charset val="134"/>
    </font>
    <font>
      <sz val="12"/>
      <color indexed="9"/>
      <name val="Calibri"/>
      <charset val="134"/>
    </font>
    <font>
      <b/>
      <sz val="12"/>
      <color indexed="9"/>
      <name val="Calibri"/>
      <charset val="134"/>
    </font>
    <font>
      <i/>
      <sz val="12"/>
      <color rgb="FFFF0000"/>
      <name val="Calibri"/>
      <charset val="134"/>
    </font>
    <font>
      <b/>
      <sz val="12"/>
      <color theme="1"/>
      <name val="Calibri"/>
      <charset val="134"/>
    </font>
    <font>
      <b/>
      <sz val="12"/>
      <color indexed="8"/>
      <name val="Calibri"/>
      <charset val="134"/>
    </font>
    <font>
      <b/>
      <sz val="12"/>
      <color rgb="FF0000CC"/>
      <name val="Calibri"/>
      <charset val="134"/>
    </font>
    <font>
      <sz val="12"/>
      <color rgb="FFFF0000"/>
      <name val="Calibri"/>
      <charset val="134"/>
    </font>
    <font>
      <sz val="12"/>
      <color rgb="FF0C0C0C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u/>
      <sz val="12"/>
      <color rgb="FFFF0000"/>
      <name val="Calibri"/>
      <charset val="134"/>
    </font>
    <font>
      <b/>
      <sz val="12"/>
      <color rgb="FF0C0C0C"/>
      <name val="Calibri"/>
      <charset val="134"/>
    </font>
    <font>
      <sz val="12"/>
      <color indexed="8"/>
      <name val="Calibri"/>
      <charset val="134"/>
    </font>
    <font>
      <b/>
      <sz val="12"/>
      <name val="Calibri"/>
      <charset val="134"/>
    </font>
    <font>
      <b/>
      <sz val="11"/>
      <color rgb="FF000000"/>
      <name val="Calibri"/>
      <charset val="134"/>
    </font>
    <font>
      <sz val="16"/>
      <color rgb="FFFFFFFF"/>
      <name val="Calibri"/>
      <charset val="134"/>
    </font>
    <font>
      <sz val="14"/>
      <color rgb="FFFFFFFF"/>
      <name val="Calibri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Tw Cen MT"/>
      <charset val="134"/>
      <scheme val="minor"/>
    </font>
    <font>
      <sz val="12"/>
      <name val="Arial"/>
      <charset val="134"/>
    </font>
    <font>
      <sz val="11"/>
      <color rgb="FF000000"/>
      <name val="Calibri"/>
      <charset val="134"/>
    </font>
    <font>
      <b/>
      <sz val="12"/>
      <color theme="1"/>
      <name val="Tw Cen MT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496A"/>
        <bgColor indexed="64"/>
      </patternFill>
    </fill>
    <fill>
      <patternFill patternType="solid">
        <fgColor rgb="FF366092"/>
        <bgColor rgb="FF366092"/>
      </patternFill>
    </fill>
    <fill>
      <patternFill patternType="solid">
        <fgColor rgb="FF36609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4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17" borderId="41" applyNumberFormat="0" applyFont="0" applyAlignment="0" applyProtection="0"/>
    <xf numFmtId="44" fontId="3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protection locked="0"/>
    </xf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1" fontId="39" fillId="2" borderId="15">
      <alignment horizontal="center" vertical="center"/>
    </xf>
  </cellStyleXfs>
  <cellXfs count="330">
    <xf numFmtId="0" fontId="0" fillId="0" borderId="0" xfId="0"/>
    <xf numFmtId="0" fontId="1" fillId="2" borderId="0" xfId="7" applyFont="1" applyFill="1"/>
    <xf numFmtId="0" fontId="2" fillId="2" borderId="0" xfId="7" applyFont="1" applyFill="1"/>
    <xf numFmtId="0" fontId="3" fillId="2" borderId="0" xfId="7" applyFont="1" applyFill="1"/>
    <xf numFmtId="0" fontId="4" fillId="3" borderId="1" xfId="7" applyFont="1" applyFill="1" applyBorder="1" applyAlignment="1">
      <alignment horizontal="center"/>
    </xf>
    <xf numFmtId="0" fontId="4" fillId="3" borderId="2" xfId="7" applyFont="1" applyFill="1" applyBorder="1" applyAlignment="1">
      <alignment horizontal="center"/>
    </xf>
    <xf numFmtId="0" fontId="3" fillId="4" borderId="3" xfId="7" applyFont="1" applyFill="1" applyBorder="1" applyAlignment="1">
      <alignment horizontal="right"/>
    </xf>
    <xf numFmtId="0" fontId="4" fillId="4" borderId="4" xfId="7" applyFont="1" applyFill="1" applyBorder="1"/>
    <xf numFmtId="44" fontId="4" fillId="4" borderId="5" xfId="6" applyFont="1" applyFill="1" applyBorder="1"/>
    <xf numFmtId="0" fontId="3" fillId="4" borderId="6" xfId="7" applyFont="1" applyFill="1" applyBorder="1" applyAlignment="1">
      <alignment horizontal="right"/>
    </xf>
    <xf numFmtId="0" fontId="4" fillId="4" borderId="0" xfId="7" applyFont="1" applyFill="1"/>
    <xf numFmtId="44" fontId="4" fillId="4" borderId="7" xfId="6" applyFont="1" applyFill="1" applyBorder="1"/>
    <xf numFmtId="0" fontId="3" fillId="4" borderId="8" xfId="7" applyFont="1" applyFill="1" applyBorder="1" applyAlignment="1">
      <alignment horizontal="right"/>
    </xf>
    <xf numFmtId="0" fontId="4" fillId="4" borderId="9" xfId="7" applyFont="1" applyFill="1" applyBorder="1"/>
    <xf numFmtId="164" fontId="4" fillId="4" borderId="10" xfId="6" applyNumberFormat="1" applyFont="1" applyFill="1" applyBorder="1"/>
    <xf numFmtId="0" fontId="4" fillId="5" borderId="3" xfId="7" applyFont="1" applyFill="1" applyBorder="1" applyAlignment="1">
      <alignment horizontal="right"/>
    </xf>
    <xf numFmtId="0" fontId="4" fillId="5" borderId="4" xfId="7" applyFont="1" applyFill="1" applyBorder="1"/>
    <xf numFmtId="9" fontId="4" fillId="5" borderId="5" xfId="11" applyFont="1" applyFill="1" applyBorder="1"/>
    <xf numFmtId="0" fontId="4" fillId="5" borderId="6" xfId="7" applyFont="1" applyFill="1" applyBorder="1"/>
    <xf numFmtId="0" fontId="4" fillId="5" borderId="0" xfId="7" applyFont="1" applyFill="1"/>
    <xf numFmtId="9" fontId="4" fillId="5" borderId="7" xfId="11" applyFont="1" applyFill="1" applyBorder="1"/>
    <xf numFmtId="0" fontId="4" fillId="5" borderId="8" xfId="7" applyFont="1" applyFill="1" applyBorder="1"/>
    <xf numFmtId="0" fontId="4" fillId="5" borderId="9" xfId="7" applyFont="1" applyFill="1" applyBorder="1"/>
    <xf numFmtId="9" fontId="4" fillId="5" borderId="10" xfId="11" applyFont="1" applyFill="1" applyBorder="1"/>
    <xf numFmtId="0" fontId="5" fillId="2" borderId="0" xfId="7" applyFont="1" applyFill="1"/>
    <xf numFmtId="0" fontId="6" fillId="2" borderId="0" xfId="7" applyFont="1" applyFill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165" fontId="14" fillId="8" borderId="12" xfId="0" applyNumberFormat="1" applyFont="1" applyFill="1" applyBorder="1" applyAlignment="1">
      <alignment horizontal="center" vertical="center" wrapText="1"/>
    </xf>
    <xf numFmtId="165" fontId="14" fillId="8" borderId="13" xfId="0" applyNumberFormat="1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165" fontId="16" fillId="9" borderId="14" xfId="0" applyNumberFormat="1" applyFont="1" applyFill="1" applyBorder="1" applyAlignment="1">
      <alignment horizontal="center" vertical="center" wrapText="1"/>
    </xf>
    <xf numFmtId="165" fontId="16" fillId="9" borderId="15" xfId="0" applyNumberFormat="1" applyFont="1" applyFill="1" applyBorder="1" applyAlignment="1">
      <alignment horizontal="center" vertical="center" wrapText="1"/>
    </xf>
    <xf numFmtId="165" fontId="14" fillId="8" borderId="15" xfId="0" applyNumberFormat="1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left" vertical="center" wrapText="1"/>
    </xf>
    <xf numFmtId="1" fontId="12" fillId="2" borderId="12" xfId="3" applyNumberFormat="1" applyFont="1" applyFill="1" applyBorder="1" applyAlignment="1">
      <alignment horizontal="center" vertical="center"/>
    </xf>
    <xf numFmtId="1" fontId="12" fillId="2" borderId="16" xfId="3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2" fillId="2" borderId="14" xfId="3" applyNumberFormat="1" applyFont="1" applyFill="1" applyBorder="1" applyAlignment="1">
      <alignment horizontal="center" vertical="center"/>
    </xf>
    <xf numFmtId="1" fontId="12" fillId="2" borderId="17" xfId="3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1" fontId="12" fillId="2" borderId="20" xfId="3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20" fillId="0" borderId="22" xfId="0" applyFont="1" applyBorder="1" applyAlignment="1">
      <alignment horizontal="right" vertical="center" wrapText="1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5" fillId="8" borderId="15" xfId="0" applyFont="1" applyFill="1" applyBorder="1" applyAlignment="1">
      <alignment horizontal="left" vertical="center" wrapText="1"/>
    </xf>
    <xf numFmtId="0" fontId="19" fillId="0" borderId="15" xfId="0" applyFont="1" applyBorder="1" applyAlignment="1">
      <alignment vertical="center"/>
    </xf>
    <xf numFmtId="0" fontId="20" fillId="10" borderId="15" xfId="0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1" fontId="12" fillId="2" borderId="15" xfId="3" applyNumberFormat="1" applyFont="1" applyFill="1" applyBorder="1" applyAlignment="1">
      <alignment vertical="center"/>
    </xf>
    <xf numFmtId="0" fontId="19" fillId="0" borderId="25" xfId="0" applyFont="1" applyBorder="1" applyAlignment="1">
      <alignment horizontal="left" wrapText="1"/>
    </xf>
    <xf numFmtId="1" fontId="19" fillId="0" borderId="15" xfId="0" applyNumberFormat="1" applyFont="1" applyBorder="1" applyAlignment="1">
      <alignment horizontal="center" vertical="center"/>
    </xf>
    <xf numFmtId="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166" fontId="7" fillId="0" borderId="15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1" fontId="7" fillId="2" borderId="15" xfId="0" applyNumberFormat="1" applyFont="1" applyFill="1" applyBorder="1" applyAlignment="1">
      <alignment horizontal="center" vertical="center"/>
    </xf>
    <xf numFmtId="9" fontId="7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2" borderId="6" xfId="3" applyFont="1" applyFill="1" applyBorder="1" applyAlignment="1">
      <alignment horizontal="left" vertical="center" wrapText="1"/>
    </xf>
    <xf numFmtId="0" fontId="7" fillId="2" borderId="0" xfId="3" applyFont="1" applyFill="1" applyBorder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9" fontId="12" fillId="2" borderId="0" xfId="2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0" fillId="10" borderId="15" xfId="0" applyFont="1" applyFill="1" applyBorder="1"/>
    <xf numFmtId="1" fontId="21" fillId="0" borderId="16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/>
    </xf>
    <xf numFmtId="9" fontId="23" fillId="0" borderId="15" xfId="0" applyNumberFormat="1" applyFont="1" applyBorder="1" applyAlignment="1">
      <alignment horizontal="center" vertical="center"/>
    </xf>
    <xf numFmtId="1" fontId="23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" fontId="12" fillId="2" borderId="15" xfId="3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wrapText="1"/>
    </xf>
    <xf numFmtId="0" fontId="19" fillId="0" borderId="14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5" fillId="8" borderId="13" xfId="0" applyFont="1" applyFill="1" applyBorder="1" applyAlignment="1">
      <alignment horizontal="left" vertical="center" wrapText="1"/>
    </xf>
    <xf numFmtId="165" fontId="16" fillId="9" borderId="13" xfId="0" applyNumberFormat="1" applyFont="1" applyFill="1" applyBorder="1" applyAlignment="1">
      <alignment horizontal="center" vertical="center" wrapText="1"/>
    </xf>
    <xf numFmtId="0" fontId="24" fillId="11" borderId="15" xfId="9" applyFont="1" applyFill="1" applyBorder="1" applyAlignment="1" applyProtection="1">
      <alignment horizontal="center"/>
    </xf>
    <xf numFmtId="0" fontId="9" fillId="0" borderId="15" xfId="0" applyFont="1" applyBorder="1" applyAlignment="1">
      <alignment horizontal="left" vertical="center" wrapText="1"/>
    </xf>
    <xf numFmtId="167" fontId="9" fillId="0" borderId="15" xfId="0" applyNumberFormat="1" applyFont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/>
    </xf>
    <xf numFmtId="44" fontId="7" fillId="0" borderId="15" xfId="1" applyFont="1" applyBorder="1" applyAlignment="1" applyProtection="1">
      <alignment horizontal="center" vertical="center"/>
    </xf>
    <xf numFmtId="168" fontId="7" fillId="0" borderId="15" xfId="0" applyNumberFormat="1" applyFont="1" applyBorder="1" applyAlignment="1">
      <alignment horizontal="left" vertical="center"/>
    </xf>
    <xf numFmtId="167" fontId="9" fillId="0" borderId="18" xfId="0" applyNumberFormat="1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/>
    </xf>
    <xf numFmtId="44" fontId="7" fillId="0" borderId="18" xfId="1" applyFont="1" applyBorder="1" applyAlignment="1" applyProtection="1">
      <alignment horizontal="center" vertical="center"/>
    </xf>
    <xf numFmtId="168" fontId="7" fillId="0" borderId="18" xfId="0" applyNumberFormat="1" applyFont="1" applyBorder="1" applyAlignment="1">
      <alignment horizontal="left" vertical="center"/>
    </xf>
    <xf numFmtId="44" fontId="19" fillId="0" borderId="23" xfId="1" applyFont="1" applyFill="1" applyBorder="1" applyAlignment="1">
      <alignment horizontal="right" vertical="center"/>
    </xf>
    <xf numFmtId="167" fontId="7" fillId="0" borderId="15" xfId="0" applyNumberFormat="1" applyFont="1" applyBorder="1" applyAlignment="1">
      <alignment horizontal="center" vertical="center"/>
    </xf>
    <xf numFmtId="44" fontId="7" fillId="0" borderId="15" xfId="1" applyFont="1" applyFill="1" applyBorder="1" applyAlignment="1">
      <alignment horizontal="center" vertical="center"/>
    </xf>
    <xf numFmtId="44" fontId="7" fillId="0" borderId="15" xfId="1" applyFont="1" applyBorder="1" applyAlignment="1">
      <alignment horizontal="center" vertical="center"/>
    </xf>
    <xf numFmtId="167" fontId="25" fillId="0" borderId="15" xfId="0" applyNumberFormat="1" applyFont="1" applyBorder="1" applyAlignment="1">
      <alignment horizontal="center" vertical="center"/>
    </xf>
    <xf numFmtId="168" fontId="26" fillId="0" borderId="15" xfId="0" applyNumberFormat="1" applyFont="1" applyBorder="1" applyAlignment="1">
      <alignment horizontal="left" vertical="center"/>
    </xf>
    <xf numFmtId="167" fontId="26" fillId="0" borderId="15" xfId="0" applyNumberFormat="1" applyFont="1" applyBorder="1" applyAlignment="1">
      <alignment horizontal="center" vertical="center"/>
    </xf>
    <xf numFmtId="44" fontId="26" fillId="0" borderId="15" xfId="1" applyFont="1" applyBorder="1" applyAlignment="1">
      <alignment horizontal="center" vertical="center"/>
    </xf>
    <xf numFmtId="44" fontId="26" fillId="0" borderId="15" xfId="1" applyFont="1" applyFill="1" applyBorder="1" applyAlignment="1">
      <alignment horizontal="center" vertical="center"/>
    </xf>
    <xf numFmtId="166" fontId="9" fillId="0" borderId="15" xfId="0" applyNumberFormat="1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164" fontId="20" fillId="0" borderId="23" xfId="0" applyNumberFormat="1" applyFont="1" applyBorder="1" applyAlignment="1">
      <alignment horizontal="center" vertical="center"/>
    </xf>
    <xf numFmtId="168" fontId="20" fillId="0" borderId="23" xfId="0" applyNumberFormat="1" applyFont="1" applyBorder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44" fontId="12" fillId="2" borderId="0" xfId="1" applyFont="1" applyFill="1" applyBorder="1" applyAlignment="1" applyProtection="1">
      <alignment horizontal="center" vertical="center"/>
    </xf>
    <xf numFmtId="167" fontId="7" fillId="0" borderId="13" xfId="0" applyNumberFormat="1" applyFont="1" applyBorder="1" applyAlignment="1">
      <alignment horizontal="center" vertical="center"/>
    </xf>
    <xf numFmtId="44" fontId="7" fillId="0" borderId="13" xfId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165" fontId="14" fillId="8" borderId="28" xfId="0" applyNumberFormat="1" applyFont="1" applyFill="1" applyBorder="1" applyAlignment="1">
      <alignment horizontal="center" vertical="center" wrapText="1"/>
    </xf>
    <xf numFmtId="165" fontId="16" fillId="9" borderId="29" xfId="0" applyNumberFormat="1" applyFont="1" applyFill="1" applyBorder="1" applyAlignment="1">
      <alignment horizontal="center" vertical="center" wrapText="1"/>
    </xf>
    <xf numFmtId="44" fontId="7" fillId="0" borderId="30" xfId="0" applyNumberFormat="1" applyFont="1" applyBorder="1" applyAlignment="1">
      <alignment horizontal="center" vertical="center" wrapText="1"/>
    </xf>
    <xf numFmtId="44" fontId="7" fillId="2" borderId="0" xfId="0" applyNumberFormat="1" applyFont="1" applyFill="1" applyAlignment="1">
      <alignment vertical="center"/>
    </xf>
    <xf numFmtId="164" fontId="20" fillId="12" borderId="32" xfId="0" applyNumberFormat="1" applyFont="1" applyFill="1" applyBorder="1" applyAlignment="1">
      <alignment horizontal="center" vertical="center"/>
    </xf>
    <xf numFmtId="44" fontId="7" fillId="0" borderId="0" xfId="0" applyNumberFormat="1" applyFont="1" applyAlignment="1">
      <alignment vertical="center"/>
    </xf>
    <xf numFmtId="0" fontId="19" fillId="0" borderId="33" xfId="0" applyFont="1" applyBorder="1" applyAlignment="1">
      <alignment vertical="center"/>
    </xf>
    <xf numFmtId="164" fontId="16" fillId="9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4" fontId="7" fillId="0" borderId="29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19" fillId="0" borderId="33" xfId="0" applyNumberFormat="1" applyFont="1" applyBorder="1" applyAlignment="1">
      <alignment vertical="center"/>
    </xf>
    <xf numFmtId="164" fontId="16" fillId="9" borderId="28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5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left" vertical="center" wrapText="1"/>
    </xf>
    <xf numFmtId="0" fontId="9" fillId="0" borderId="15" xfId="9" applyFont="1" applyBorder="1" applyAlignment="1" applyProtection="1">
      <alignment horizontal="center" vertical="center"/>
    </xf>
    <xf numFmtId="0" fontId="19" fillId="0" borderId="13" xfId="0" applyFont="1" applyBorder="1" applyAlignment="1">
      <alignment horizontal="left" vertical="center"/>
    </xf>
    <xf numFmtId="165" fontId="14" fillId="8" borderId="1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vertical="center" wrapText="1"/>
    </xf>
    <xf numFmtId="0" fontId="9" fillId="0" borderId="15" xfId="9" applyFont="1" applyBorder="1" applyProtection="1"/>
    <xf numFmtId="0" fontId="9" fillId="0" borderId="15" xfId="0" applyFont="1" applyBorder="1" applyAlignment="1">
      <alignment vertical="center" wrapText="1"/>
    </xf>
    <xf numFmtId="0" fontId="24" fillId="0" borderId="15" xfId="9" applyFont="1" applyBorder="1" applyAlignment="1" applyProtection="1">
      <alignment wrapText="1"/>
    </xf>
    <xf numFmtId="2" fontId="9" fillId="0" borderId="15" xfId="9" applyNumberFormat="1" applyFont="1" applyBorder="1" applyAlignment="1" applyProtection="1">
      <alignment horizontal="center" vertical="center"/>
    </xf>
    <xf numFmtId="0" fontId="24" fillId="0" borderId="15" xfId="0" applyFont="1" applyBorder="1"/>
    <xf numFmtId="1" fontId="24" fillId="0" borderId="15" xfId="0" applyNumberFormat="1" applyFont="1" applyBorder="1" applyAlignment="1">
      <alignment horizontal="center" vertical="center"/>
    </xf>
    <xf numFmtId="9" fontId="28" fillId="0" borderId="15" xfId="0" applyNumberFormat="1" applyFont="1" applyBorder="1" applyAlignment="1">
      <alignment horizontal="center" vertical="center"/>
    </xf>
    <xf numFmtId="1" fontId="28" fillId="0" borderId="15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9" fillId="0" borderId="15" xfId="0" applyFont="1" applyBorder="1"/>
    <xf numFmtId="1" fontId="9" fillId="0" borderId="15" xfId="0" applyNumberFormat="1" applyFont="1" applyBorder="1" applyAlignment="1">
      <alignment horizontal="center" vertical="center"/>
    </xf>
    <xf numFmtId="2" fontId="12" fillId="2" borderId="15" xfId="3" applyNumberFormat="1" applyFont="1" applyFill="1" applyBorder="1" applyAlignment="1">
      <alignment horizontal="center" vertical="center"/>
    </xf>
    <xf numFmtId="44" fontId="26" fillId="0" borderId="15" xfId="0" applyNumberFormat="1" applyFont="1" applyBorder="1" applyAlignment="1">
      <alignment horizontal="left" vertical="center"/>
    </xf>
    <xf numFmtId="164" fontId="14" fillId="8" borderId="2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64" fontId="7" fillId="0" borderId="2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9" fontId="23" fillId="0" borderId="18" xfId="0" applyNumberFormat="1" applyFont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1" fontId="23" fillId="0" borderId="2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7" fillId="9" borderId="13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20" fillId="11" borderId="15" xfId="0" applyFont="1" applyFill="1" applyBorder="1"/>
    <xf numFmtId="0" fontId="16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5" xfId="0" applyFont="1" applyBorder="1" applyAlignment="1">
      <alignment horizontal="left"/>
    </xf>
    <xf numFmtId="0" fontId="8" fillId="0" borderId="13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34" xfId="0" applyFont="1" applyBorder="1" applyAlignment="1">
      <alignment horizontal="left"/>
    </xf>
    <xf numFmtId="0" fontId="7" fillId="0" borderId="26" xfId="0" applyFont="1" applyBorder="1" applyAlignment="1">
      <alignment horizontal="center" vertical="center"/>
    </xf>
    <xf numFmtId="9" fontId="23" fillId="0" borderId="26" xfId="0" applyNumberFormat="1" applyFont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8" fillId="0" borderId="15" xfId="0" applyFont="1" applyBorder="1"/>
    <xf numFmtId="164" fontId="28" fillId="0" borderId="23" xfId="0" applyNumberFormat="1" applyFont="1" applyBorder="1" applyAlignment="1">
      <alignment horizontal="center" vertical="center"/>
    </xf>
    <xf numFmtId="168" fontId="23" fillId="0" borderId="23" xfId="0" applyNumberFormat="1" applyFont="1" applyBorder="1" applyAlignment="1">
      <alignment horizontal="center" vertical="center"/>
    </xf>
    <xf numFmtId="167" fontId="8" fillId="0" borderId="15" xfId="0" applyNumberFormat="1" applyFont="1" applyBorder="1" applyAlignment="1">
      <alignment horizontal="center" vertical="center"/>
    </xf>
    <xf numFmtId="166" fontId="8" fillId="0" borderId="15" xfId="0" applyNumberFormat="1" applyFont="1" applyBorder="1" applyAlignment="1">
      <alignment horizontal="center" vertical="center"/>
    </xf>
    <xf numFmtId="44" fontId="8" fillId="0" borderId="15" xfId="0" applyNumberFormat="1" applyFont="1" applyBorder="1" applyAlignment="1">
      <alignment horizontal="center" vertical="center"/>
    </xf>
    <xf numFmtId="167" fontId="29" fillId="0" borderId="15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44" fontId="7" fillId="0" borderId="26" xfId="1" applyFont="1" applyBorder="1" applyAlignment="1" applyProtection="1">
      <alignment horizontal="center" vertical="center"/>
    </xf>
    <xf numFmtId="168" fontId="7" fillId="0" borderId="26" xfId="0" applyNumberFormat="1" applyFont="1" applyBorder="1" applyAlignment="1">
      <alignment horizontal="left" vertical="center"/>
    </xf>
    <xf numFmtId="168" fontId="26" fillId="0" borderId="26" xfId="0" applyNumberFormat="1" applyFont="1" applyBorder="1" applyAlignment="1">
      <alignment horizontal="left" vertical="center"/>
    </xf>
    <xf numFmtId="168" fontId="8" fillId="0" borderId="23" xfId="0" applyNumberFormat="1" applyFont="1" applyBorder="1" applyAlignment="1">
      <alignment horizontal="center" vertical="center"/>
    </xf>
    <xf numFmtId="166" fontId="9" fillId="0" borderId="35" xfId="0" applyNumberFormat="1" applyFont="1" applyBorder="1" applyAlignment="1">
      <alignment horizontal="center" vertical="center"/>
    </xf>
    <xf numFmtId="44" fontId="7" fillId="0" borderId="36" xfId="1" applyFont="1" applyBorder="1" applyAlignment="1" applyProtection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28" fillId="13" borderId="32" xfId="0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vertical="center"/>
    </xf>
    <xf numFmtId="164" fontId="7" fillId="0" borderId="31" xfId="0" applyNumberFormat="1" applyFont="1" applyBorder="1" applyAlignment="1">
      <alignment horizontal="center" vertical="center" wrapText="1"/>
    </xf>
    <xf numFmtId="164" fontId="12" fillId="0" borderId="33" xfId="0" applyNumberFormat="1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24" fillId="13" borderId="14" xfId="0" applyFont="1" applyFill="1" applyBorder="1" applyAlignment="1">
      <alignment horizontal="left" vertical="center"/>
    </xf>
    <xf numFmtId="0" fontId="9" fillId="13" borderId="15" xfId="0" applyFont="1" applyFill="1" applyBorder="1" applyAlignment="1">
      <alignment horizontal="center" vertical="center"/>
    </xf>
    <xf numFmtId="0" fontId="24" fillId="13" borderId="15" xfId="0" applyFont="1" applyFill="1" applyBorder="1" applyAlignment="1">
      <alignment horizontal="center" vertical="center"/>
    </xf>
    <xf numFmtId="0" fontId="24" fillId="13" borderId="15" xfId="0" applyFont="1" applyFill="1" applyBorder="1" applyAlignment="1">
      <alignment horizontal="left" vertical="center" wrapText="1"/>
    </xf>
    <xf numFmtId="0" fontId="28" fillId="13" borderId="15" xfId="0" applyFont="1" applyFill="1" applyBorder="1" applyAlignment="1">
      <alignment horizontal="center" vertical="center"/>
    </xf>
    <xf numFmtId="1" fontId="28" fillId="13" borderId="15" xfId="0" applyNumberFormat="1" applyFont="1" applyFill="1" applyBorder="1" applyAlignment="1">
      <alignment horizontal="center" vertical="center"/>
    </xf>
    <xf numFmtId="0" fontId="24" fillId="13" borderId="15" xfId="0" applyFont="1" applyFill="1" applyBorder="1" applyAlignment="1">
      <alignment horizontal="center"/>
    </xf>
    <xf numFmtId="0" fontId="24" fillId="13" borderId="15" xfId="0" applyFont="1" applyFill="1" applyBorder="1" applyAlignment="1">
      <alignment horizontal="left"/>
    </xf>
    <xf numFmtId="1" fontId="24" fillId="13" borderId="15" xfId="0" applyNumberFormat="1" applyFont="1" applyFill="1" applyBorder="1" applyAlignment="1">
      <alignment horizontal="center" vertical="center"/>
    </xf>
    <xf numFmtId="0" fontId="24" fillId="15" borderId="14" xfId="0" applyFont="1" applyFill="1" applyBorder="1" applyAlignment="1">
      <alignment horizontal="left" vertical="center"/>
    </xf>
    <xf numFmtId="0" fontId="9" fillId="15" borderId="15" xfId="0" applyFont="1" applyFill="1" applyBorder="1" applyAlignment="1">
      <alignment horizontal="center" vertical="center"/>
    </xf>
    <xf numFmtId="0" fontId="24" fillId="15" borderId="15" xfId="0" applyFont="1" applyFill="1" applyBorder="1" applyAlignment="1">
      <alignment horizontal="center"/>
    </xf>
    <xf numFmtId="0" fontId="24" fillId="15" borderId="15" xfId="0" applyFont="1" applyFill="1" applyBorder="1" applyAlignment="1">
      <alignment horizontal="left"/>
    </xf>
    <xf numFmtId="1" fontId="24" fillId="15" borderId="15" xfId="0" applyNumberFormat="1" applyFont="1" applyFill="1" applyBorder="1" applyAlignment="1">
      <alignment horizontal="center" vertical="center"/>
    </xf>
    <xf numFmtId="0" fontId="24" fillId="15" borderId="15" xfId="0" applyFont="1" applyFill="1" applyBorder="1" applyAlignment="1">
      <alignment horizontal="center" vertical="center"/>
    </xf>
    <xf numFmtId="0" fontId="24" fillId="16" borderId="14" xfId="0" applyFont="1" applyFill="1" applyBorder="1" applyAlignment="1">
      <alignment horizontal="left" vertical="center"/>
    </xf>
    <xf numFmtId="0" fontId="9" fillId="16" borderId="15" xfId="0" applyFont="1" applyFill="1" applyBorder="1" applyAlignment="1">
      <alignment horizontal="center" vertical="center"/>
    </xf>
    <xf numFmtId="0" fontId="24" fillId="16" borderId="15" xfId="0" applyFont="1" applyFill="1" applyBorder="1" applyAlignment="1">
      <alignment horizontal="center"/>
    </xf>
    <xf numFmtId="0" fontId="24" fillId="16" borderId="15" xfId="0" applyFont="1" applyFill="1" applyBorder="1" applyAlignment="1">
      <alignment horizontal="left"/>
    </xf>
    <xf numFmtId="1" fontId="24" fillId="16" borderId="15" xfId="0" applyNumberFormat="1" applyFont="1" applyFill="1" applyBorder="1" applyAlignment="1">
      <alignment horizontal="center" vertical="center"/>
    </xf>
    <xf numFmtId="0" fontId="24" fillId="16" borderId="15" xfId="0" applyFont="1" applyFill="1" applyBorder="1" applyAlignment="1">
      <alignment horizontal="center" vertical="center"/>
    </xf>
    <xf numFmtId="0" fontId="24" fillId="16" borderId="37" xfId="0" applyFont="1" applyFill="1" applyBorder="1" applyAlignment="1">
      <alignment horizontal="left" vertical="center"/>
    </xf>
    <xf numFmtId="0" fontId="9" fillId="16" borderId="38" xfId="0" applyFont="1" applyFill="1" applyBorder="1" applyAlignment="1">
      <alignment horizontal="center" vertical="center"/>
    </xf>
    <xf numFmtId="165" fontId="24" fillId="16" borderId="38" xfId="0" applyNumberFormat="1" applyFont="1" applyFill="1" applyBorder="1" applyAlignment="1">
      <alignment horizontal="center" vertical="center"/>
    </xf>
    <xf numFmtId="0" fontId="24" fillId="16" borderId="38" xfId="0" applyFont="1" applyFill="1" applyBorder="1" applyAlignment="1">
      <alignment horizontal="left" vertical="center" wrapText="1"/>
    </xf>
    <xf numFmtId="0" fontId="28" fillId="16" borderId="38" xfId="0" applyFont="1" applyFill="1" applyBorder="1" applyAlignment="1">
      <alignment horizontal="center" vertical="center"/>
    </xf>
    <xf numFmtId="1" fontId="28" fillId="16" borderId="38" xfId="0" applyNumberFormat="1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" fontId="30" fillId="14" borderId="15" xfId="0" applyNumberFormat="1" applyFont="1" applyFill="1" applyBorder="1" applyAlignment="1">
      <alignment horizontal="center" vertical="center" wrapText="1"/>
    </xf>
    <xf numFmtId="164" fontId="30" fillId="4" borderId="15" xfId="0" applyNumberFormat="1" applyFont="1" applyFill="1" applyBorder="1" applyAlignment="1">
      <alignment horizontal="center" vertical="center"/>
    </xf>
    <xf numFmtId="0" fontId="30" fillId="5" borderId="15" xfId="0" applyFont="1" applyFill="1" applyBorder="1" applyAlignment="1">
      <alignment horizontal="center" vertical="center" wrapText="1"/>
    </xf>
    <xf numFmtId="164" fontId="30" fillId="5" borderId="15" xfId="0" applyNumberFormat="1" applyFont="1" applyFill="1" applyBorder="1" applyAlignment="1">
      <alignment horizontal="center" vertical="center"/>
    </xf>
    <xf numFmtId="44" fontId="28" fillId="13" borderId="15" xfId="0" applyNumberFormat="1" applyFont="1" applyFill="1" applyBorder="1" applyAlignment="1">
      <alignment horizontal="left" vertical="center"/>
    </xf>
    <xf numFmtId="9" fontId="24" fillId="13" borderId="15" xfId="0" applyNumberFormat="1" applyFont="1" applyFill="1" applyBorder="1" applyAlignment="1">
      <alignment horizontal="left" vertical="center"/>
    </xf>
    <xf numFmtId="9" fontId="24" fillId="15" borderId="15" xfId="0" applyNumberFormat="1" applyFont="1" applyFill="1" applyBorder="1" applyAlignment="1">
      <alignment horizontal="left" vertical="center"/>
    </xf>
    <xf numFmtId="10" fontId="24" fillId="16" borderId="15" xfId="0" applyNumberFormat="1" applyFont="1" applyFill="1" applyBorder="1" applyAlignment="1">
      <alignment horizontal="left" vertical="center"/>
    </xf>
    <xf numFmtId="169" fontId="24" fillId="16" borderId="15" xfId="0" applyNumberFormat="1" applyFont="1" applyFill="1" applyBorder="1" applyAlignment="1">
      <alignment horizontal="left" vertical="center"/>
    </xf>
    <xf numFmtId="44" fontId="28" fillId="16" borderId="38" xfId="0" applyNumberFormat="1" applyFont="1" applyFill="1" applyBorder="1" applyAlignment="1">
      <alignment horizontal="left" vertical="center"/>
    </xf>
    <xf numFmtId="168" fontId="7" fillId="0" borderId="29" xfId="0" applyNumberFormat="1" applyFont="1" applyBorder="1" applyAlignment="1">
      <alignment horizontal="center" vertical="center"/>
    </xf>
    <xf numFmtId="164" fontId="31" fillId="13" borderId="29" xfId="0" applyNumberFormat="1" applyFont="1" applyFill="1" applyBorder="1" applyAlignment="1">
      <alignment horizontal="left" vertical="center"/>
    </xf>
    <xf numFmtId="164" fontId="9" fillId="0" borderId="0" xfId="0" applyNumberFormat="1" applyFont="1"/>
    <xf numFmtId="170" fontId="24" fillId="0" borderId="0" xfId="0" applyNumberFormat="1" applyFont="1"/>
    <xf numFmtId="0" fontId="24" fillId="0" borderId="0" xfId="0" applyFont="1"/>
    <xf numFmtId="164" fontId="31" fillId="15" borderId="29" xfId="0" applyNumberFormat="1" applyFont="1" applyFill="1" applyBorder="1" applyAlignment="1">
      <alignment horizontal="left" vertical="center"/>
    </xf>
    <xf numFmtId="164" fontId="31" fillId="16" borderId="29" xfId="0" applyNumberFormat="1" applyFont="1" applyFill="1" applyBorder="1" applyAlignment="1">
      <alignment horizontal="left" vertical="center"/>
    </xf>
    <xf numFmtId="164" fontId="31" fillId="16" borderId="39" xfId="0" applyNumberFormat="1" applyFont="1" applyFill="1" applyBorder="1" applyAlignment="1">
      <alignment horizontal="left" vertical="center"/>
    </xf>
    <xf numFmtId="0" fontId="0" fillId="2" borderId="0" xfId="0" applyFill="1"/>
    <xf numFmtId="164" fontId="0" fillId="2" borderId="0" xfId="0" applyNumberFormat="1" applyFill="1"/>
    <xf numFmtId="165" fontId="33" fillId="8" borderId="15" xfId="0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164" fontId="7" fillId="0" borderId="28" xfId="0" applyNumberFormat="1" applyFont="1" applyBorder="1"/>
    <xf numFmtId="0" fontId="30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164" fontId="7" fillId="0" borderId="29" xfId="0" applyNumberFormat="1" applyFont="1" applyBorder="1"/>
    <xf numFmtId="164" fontId="34" fillId="0" borderId="40" xfId="4" applyNumberFormat="1" applyFont="1" applyFill="1" applyBorder="1" applyAlignment="1">
      <alignment vertical="center"/>
    </xf>
    <xf numFmtId="44" fontId="0" fillId="2" borderId="0" xfId="0" applyNumberFormat="1" applyFill="1"/>
    <xf numFmtId="9" fontId="24" fillId="13" borderId="14" xfId="2" applyFont="1" applyFill="1" applyBorder="1" applyAlignment="1">
      <alignment horizontal="center" vertical="center"/>
    </xf>
    <xf numFmtId="170" fontId="24" fillId="13" borderId="14" xfId="0" applyNumberFormat="1" applyFont="1" applyFill="1" applyBorder="1" applyAlignment="1">
      <alignment horizontal="left" vertical="center"/>
    </xf>
    <xf numFmtId="10" fontId="24" fillId="15" borderId="14" xfId="2" applyNumberFormat="1" applyFont="1" applyFill="1" applyBorder="1" applyAlignment="1">
      <alignment horizontal="center" vertical="center"/>
    </xf>
    <xf numFmtId="170" fontId="24" fillId="15" borderId="14" xfId="0" applyNumberFormat="1" applyFont="1" applyFill="1" applyBorder="1" applyAlignment="1">
      <alignment horizontal="left" vertical="center"/>
    </xf>
    <xf numFmtId="169" fontId="24" fillId="16" borderId="14" xfId="2" applyNumberFormat="1" applyFont="1" applyFill="1" applyBorder="1" applyAlignment="1">
      <alignment horizontal="center" vertical="center"/>
    </xf>
    <xf numFmtId="170" fontId="24" fillId="16" borderId="14" xfId="0" applyNumberFormat="1" applyFont="1" applyFill="1" applyBorder="1" applyAlignment="1">
      <alignment horizontal="left" vertical="center"/>
    </xf>
    <xf numFmtId="171" fontId="0" fillId="2" borderId="9" xfId="0" applyNumberFormat="1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10" xfId="0" applyFill="1" applyBorder="1"/>
    <xf numFmtId="165" fontId="32" fillId="8" borderId="27" xfId="0" applyNumberFormat="1" applyFont="1" applyFill="1" applyBorder="1" applyAlignment="1">
      <alignment horizontal="center" vertical="center" wrapText="1"/>
    </xf>
    <xf numFmtId="165" fontId="32" fillId="8" borderId="24" xfId="0" applyNumberFormat="1" applyFont="1" applyFill="1" applyBorder="1" applyAlignment="1">
      <alignment horizontal="center" vertical="center" wrapText="1"/>
    </xf>
    <xf numFmtId="165" fontId="32" fillId="8" borderId="16" xfId="0" applyNumberFormat="1" applyFont="1" applyFill="1" applyBorder="1" applyAlignment="1">
      <alignment horizontal="center" vertical="center" wrapText="1"/>
    </xf>
    <xf numFmtId="0" fontId="24" fillId="13" borderId="25" xfId="0" applyFont="1" applyFill="1" applyBorder="1" applyAlignment="1">
      <alignment horizontal="center" vertical="center"/>
    </xf>
    <xf numFmtId="0" fontId="24" fillId="13" borderId="24" xfId="0" applyFont="1" applyFill="1" applyBorder="1" applyAlignment="1">
      <alignment horizontal="center" vertical="center"/>
    </xf>
    <xf numFmtId="0" fontId="24" fillId="13" borderId="16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49" fontId="35" fillId="0" borderId="40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3" fontId="11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30" fillId="14" borderId="15" xfId="0" applyFont="1" applyFill="1" applyBorder="1" applyAlignment="1">
      <alignment horizontal="center" vertical="center"/>
    </xf>
    <xf numFmtId="0" fontId="30" fillId="4" borderId="15" xfId="0" applyFont="1" applyFill="1" applyBorder="1" applyAlignment="1">
      <alignment horizontal="center" vertical="center" wrapText="1"/>
    </xf>
    <xf numFmtId="44" fontId="7" fillId="0" borderId="30" xfId="0" applyNumberFormat="1" applyFont="1" applyBorder="1" applyAlignment="1">
      <alignment horizontal="center" vertical="center" wrapText="1"/>
    </xf>
    <xf numFmtId="44" fontId="7" fillId="0" borderId="31" xfId="0" applyNumberFormat="1" applyFont="1" applyBorder="1" applyAlignment="1">
      <alignment horizontal="center" vertical="center" wrapText="1"/>
    </xf>
    <xf numFmtId="44" fontId="7" fillId="0" borderId="28" xfId="0" applyNumberFormat="1" applyFont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/>
    </xf>
    <xf numFmtId="0" fontId="4" fillId="3" borderId="5" xfId="7" applyFont="1" applyFill="1" applyBorder="1" applyAlignment="1">
      <alignment horizontal="center"/>
    </xf>
  </cellXfs>
  <cellStyles count="13">
    <cellStyle name="Currency" xfId="1" builtinId="4"/>
    <cellStyle name="Currency 2" xfId="4" xr:uid="{00000000-0005-0000-0000-000031000000}"/>
    <cellStyle name="Currency 3" xfId="5" xr:uid="{00000000-0005-0000-0000-000032000000}"/>
    <cellStyle name="Currency 4" xfId="6" xr:uid="{00000000-0005-0000-0000-000033000000}"/>
    <cellStyle name="Normal" xfId="0" builtinId="0"/>
    <cellStyle name="Normal 2" xfId="7" xr:uid="{00000000-0005-0000-0000-000034000000}"/>
    <cellStyle name="Normal 2 3" xfId="8" xr:uid="{00000000-0005-0000-0000-000035000000}"/>
    <cellStyle name="Normal 4" xfId="9" xr:uid="{00000000-0005-0000-0000-000036000000}"/>
    <cellStyle name="Note" xfId="3" builtinId="10"/>
    <cellStyle name="Percent" xfId="2" builtinId="5"/>
    <cellStyle name="Percent 2" xfId="10" xr:uid="{00000000-0005-0000-0000-000037000000}"/>
    <cellStyle name="Percent 3" xfId="11" xr:uid="{00000000-0005-0000-0000-000038000000}"/>
    <cellStyle name="Style 1" xfId="12" xr:uid="{00000000-0005-0000-0000-000039000000}"/>
  </cellStyles>
  <dxfs count="0"/>
  <tableStyles count="0" defaultTableStyle="TableStyleMedium9" defaultPivotStyle="PivotStyleLight16"/>
  <colors>
    <mruColors>
      <color rgb="FF00496A"/>
      <color rgb="FF4A4C4C"/>
      <color rgb="FF013554"/>
      <color rgb="FF001521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DIVISION COST COMPARISON</c:v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'General Summary'!$B$4:$B$13</c:f>
              <c:strCache>
                <c:ptCount val="10"/>
                <c:pt idx="0">
                  <c:v>General Requirments</c:v>
                </c:pt>
                <c:pt idx="1">
                  <c:v>Concrete</c:v>
                </c:pt>
                <c:pt idx="2">
                  <c:v>Masonry</c:v>
                </c:pt>
                <c:pt idx="3">
                  <c:v>Wood &amp; Plastics</c:v>
                </c:pt>
                <c:pt idx="4">
                  <c:v>Thermal &amp; Moisture Protection</c:v>
                </c:pt>
                <c:pt idx="5">
                  <c:v>Opening</c:v>
                </c:pt>
                <c:pt idx="6">
                  <c:v>Finishes</c:v>
                </c:pt>
                <c:pt idx="7">
                  <c:v>Specialties</c:v>
                </c:pt>
                <c:pt idx="8">
                  <c:v>Equipmets</c:v>
                </c:pt>
                <c:pt idx="9">
                  <c:v>Furnishing</c:v>
                </c:pt>
              </c:strCache>
            </c:strRef>
          </c:cat>
          <c:val>
            <c:numRef>
              <c:f>'General Summary'!$C$4:$C$13</c:f>
              <c:numCache>
                <c:formatCode>_("$"* #,##0_);_("$"* \(#,##0\);_("$"* "-"??_);_(@_)</c:formatCode>
                <c:ptCount val="10"/>
                <c:pt idx="0">
                  <c:v>18600</c:v>
                </c:pt>
                <c:pt idx="1">
                  <c:v>8542.0201905563608</c:v>
                </c:pt>
                <c:pt idx="2">
                  <c:v>10184.793394599999</c:v>
                </c:pt>
                <c:pt idx="3">
                  <c:v>30207.451983825002</c:v>
                </c:pt>
                <c:pt idx="4">
                  <c:v>25426.152304376999</c:v>
                </c:pt>
                <c:pt idx="5">
                  <c:v>17050.041499999999</c:v>
                </c:pt>
                <c:pt idx="6">
                  <c:v>56824.993219495002</c:v>
                </c:pt>
                <c:pt idx="7">
                  <c:v>4817.3</c:v>
                </c:pt>
                <c:pt idx="8">
                  <c:v>8982</c:v>
                </c:pt>
                <c:pt idx="9">
                  <c:v>20376.334986888302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8-4402-8322-9C3A021A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525215184"/>
        <c:axId val="525188976"/>
      </c:barChart>
      <c:catAx>
        <c:axId val="5252151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188976"/>
        <c:crosses val="autoZero"/>
        <c:auto val="1"/>
        <c:lblAlgn val="ctr"/>
        <c:lblOffset val="100"/>
        <c:noMultiLvlLbl val="0"/>
      </c:catAx>
      <c:valAx>
        <c:axId val="5251889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1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a72fa80-3eb5-4cd1-b950-adb2937066ed}"/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22709</xdr:colOff>
      <xdr:row>2</xdr:row>
      <xdr:rowOff>42636</xdr:rowOff>
    </xdr:from>
    <xdr:to>
      <xdr:col>14</xdr:col>
      <xdr:colOff>24135</xdr:colOff>
      <xdr:row>20</xdr:row>
      <xdr:rowOff>27162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0</xdr:rowOff>
    </xdr:from>
    <xdr:ext cx="184731" cy="2759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0750" y="0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7599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3550" y="0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tile tx="0" ty="0" sx="40000" sy="4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20"/>
  <sheetViews>
    <sheetView view="pageBreakPreview" zoomScale="85" zoomScaleNormal="100" workbookViewId="0">
      <selection activeCell="B26" sqref="B26"/>
    </sheetView>
  </sheetViews>
  <sheetFormatPr defaultColWidth="9" defaultRowHeight="14"/>
  <cols>
    <col min="1" max="1" width="38.33203125" style="288" customWidth="1"/>
    <col min="2" max="2" width="63.08203125" style="288" customWidth="1"/>
    <col min="3" max="3" width="17.58203125" style="289" customWidth="1"/>
    <col min="4" max="16384" width="9" style="288"/>
  </cols>
  <sheetData>
    <row r="1" spans="1:14" ht="21">
      <c r="A1" s="309" t="s">
        <v>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1"/>
    </row>
    <row r="2" spans="1:14" ht="21" customHeight="1">
      <c r="A2" s="312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/>
    </row>
    <row r="3" spans="1:14" ht="18.5">
      <c r="A3" s="290" t="s">
        <v>1</v>
      </c>
      <c r="B3" s="290" t="s">
        <v>2</v>
      </c>
      <c r="C3" s="290" t="s">
        <v>3</v>
      </c>
      <c r="N3" s="307"/>
    </row>
    <row r="4" spans="1:14" ht="15.5">
      <c r="A4" s="291">
        <v>1000</v>
      </c>
      <c r="B4" s="292" t="s">
        <v>4</v>
      </c>
      <c r="C4" s="293">
        <f>TAKEOFF!Q16</f>
        <v>18600</v>
      </c>
      <c r="N4" s="307"/>
    </row>
    <row r="5" spans="1:14" ht="15.5">
      <c r="A5" s="294">
        <v>3000</v>
      </c>
      <c r="B5" s="295" t="s">
        <v>5</v>
      </c>
      <c r="C5" s="296">
        <f>TAKEOFF!Q48</f>
        <v>8542.0201905563608</v>
      </c>
      <c r="N5" s="307"/>
    </row>
    <row r="6" spans="1:14" ht="15.5">
      <c r="A6" s="294">
        <v>4000</v>
      </c>
      <c r="B6" s="295" t="s">
        <v>6</v>
      </c>
      <c r="C6" s="296">
        <f>TAKEOFF!Q57</f>
        <v>10184.793394599999</v>
      </c>
      <c r="N6" s="307"/>
    </row>
    <row r="7" spans="1:14" ht="15.5">
      <c r="A7" s="294">
        <v>6000</v>
      </c>
      <c r="B7" s="295" t="s">
        <v>7</v>
      </c>
      <c r="C7" s="296">
        <f>TAKEOFF!Q92</f>
        <v>30207.451983825002</v>
      </c>
      <c r="N7" s="307"/>
    </row>
    <row r="8" spans="1:14" ht="15.5">
      <c r="A8" s="294">
        <v>7000</v>
      </c>
      <c r="B8" s="295" t="s">
        <v>8</v>
      </c>
      <c r="C8" s="296">
        <f>TAKEOFF!Q123</f>
        <v>25426.152304376999</v>
      </c>
      <c r="N8" s="307"/>
    </row>
    <row r="9" spans="1:14" ht="15.5">
      <c r="A9" s="294">
        <v>8000</v>
      </c>
      <c r="B9" s="295" t="s">
        <v>9</v>
      </c>
      <c r="C9" s="296">
        <f>TAKEOFF!Q143</f>
        <v>17050.041499999999</v>
      </c>
      <c r="N9" s="307"/>
    </row>
    <row r="10" spans="1:14" ht="15.5">
      <c r="A10" s="294">
        <v>9000</v>
      </c>
      <c r="B10" s="295" t="s">
        <v>10</v>
      </c>
      <c r="C10" s="296">
        <f>TAKEOFF!Q228</f>
        <v>56824.993219495002</v>
      </c>
      <c r="N10" s="307"/>
    </row>
    <row r="11" spans="1:14" ht="15.5">
      <c r="A11" s="294">
        <v>10000</v>
      </c>
      <c r="B11" s="295" t="s">
        <v>11</v>
      </c>
      <c r="C11" s="296">
        <f>TAKEOFF!Q246</f>
        <v>4817.3</v>
      </c>
      <c r="N11" s="307"/>
    </row>
    <row r="12" spans="1:14" ht="15.5">
      <c r="A12" s="294">
        <v>11000</v>
      </c>
      <c r="B12" s="295" t="s">
        <v>12</v>
      </c>
      <c r="C12" s="296">
        <f>TAKEOFF!Q256</f>
        <v>8982</v>
      </c>
      <c r="N12" s="307"/>
    </row>
    <row r="13" spans="1:14" ht="15.5">
      <c r="A13" s="294">
        <v>12000</v>
      </c>
      <c r="B13" s="295" t="s">
        <v>13</v>
      </c>
      <c r="C13" s="296">
        <f>TAKEOFF!Q274</f>
        <v>20376.334986888302</v>
      </c>
      <c r="N13" s="307"/>
    </row>
    <row r="14" spans="1:14" ht="15.5">
      <c r="A14" s="315" t="s">
        <v>14</v>
      </c>
      <c r="B14" s="315"/>
      <c r="C14" s="297">
        <f>SUM(C4:C13)</f>
        <v>201011.08757974199</v>
      </c>
      <c r="E14" s="298"/>
      <c r="N14" s="307"/>
    </row>
    <row r="15" spans="1:14" ht="15">
      <c r="A15" s="316"/>
      <c r="B15" s="316"/>
      <c r="C15" s="316"/>
      <c r="N15" s="307"/>
    </row>
    <row r="16" spans="1:14" ht="15.5">
      <c r="A16" s="242" t="s">
        <v>15</v>
      </c>
      <c r="B16" s="299">
        <v>0.05</v>
      </c>
      <c r="C16" s="300">
        <f>C14*B16</f>
        <v>10050.554378987101</v>
      </c>
      <c r="D16" s="298"/>
      <c r="E16" s="298"/>
      <c r="N16" s="307"/>
    </row>
    <row r="17" spans="1:14" ht="15.5">
      <c r="A17" s="242" t="s">
        <v>16</v>
      </c>
      <c r="B17" s="299">
        <v>0.1</v>
      </c>
      <c r="C17" s="300">
        <f>C14*B17</f>
        <v>20101.108757974202</v>
      </c>
      <c r="N17" s="307"/>
    </row>
    <row r="18" spans="1:14" ht="15.5">
      <c r="A18" s="251" t="s">
        <v>17</v>
      </c>
      <c r="B18" s="301">
        <v>8.3799999999999999E-2</v>
      </c>
      <c r="C18" s="302">
        <f>TAKEOFF!O276*B18</f>
        <v>9568.8301057350109</v>
      </c>
      <c r="N18" s="307"/>
    </row>
    <row r="19" spans="1:14" ht="15.5">
      <c r="A19" s="257" t="s">
        <v>18</v>
      </c>
      <c r="B19" s="303">
        <v>1.4999999999999999E-2</v>
      </c>
      <c r="C19" s="304">
        <f>C14*B19</f>
        <v>3015.1663136961301</v>
      </c>
      <c r="N19" s="307"/>
    </row>
    <row r="20" spans="1:14" ht="15.5">
      <c r="A20" s="257" t="s">
        <v>19</v>
      </c>
      <c r="B20" s="303"/>
      <c r="C20" s="304">
        <f>SUM(C14,C16:C19)</f>
        <v>243746.74713613401</v>
      </c>
      <c r="D20" s="305"/>
      <c r="E20" s="306"/>
      <c r="F20" s="306"/>
      <c r="G20" s="306"/>
      <c r="H20" s="306"/>
      <c r="I20" s="306"/>
      <c r="J20" s="306"/>
      <c r="K20" s="306"/>
      <c r="L20" s="306"/>
      <c r="M20" s="306"/>
      <c r="N20" s="308"/>
    </row>
  </sheetData>
  <mergeCells count="4">
    <mergeCell ref="A1:N1"/>
    <mergeCell ref="A2:N2"/>
    <mergeCell ref="A14:B14"/>
    <mergeCell ref="A15:C15"/>
  </mergeCells>
  <pageMargins left="0.7" right="0.7" top="0.7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J282"/>
  <sheetViews>
    <sheetView showGridLines="0" tabSelected="1" topLeftCell="A2" zoomScale="80" zoomScaleNormal="80" zoomScaleSheetLayoutView="85" workbookViewId="0">
      <selection activeCell="O272" sqref="O272"/>
    </sheetView>
  </sheetViews>
  <sheetFormatPr defaultColWidth="9" defaultRowHeight="15.5"/>
  <cols>
    <col min="1" max="1" width="4.08203125" style="30" customWidth="1"/>
    <col min="2" max="2" width="9.25" style="30" customWidth="1"/>
    <col min="3" max="3" width="9.33203125" style="30" customWidth="1"/>
    <col min="4" max="4" width="68.83203125" style="30" customWidth="1"/>
    <col min="5" max="6" width="11.58203125" style="31" customWidth="1"/>
    <col min="7" max="7" width="14" style="31" customWidth="1"/>
    <col min="8" max="8" width="10.58203125" style="30" customWidth="1"/>
    <col min="9" max="10" width="14" style="31" customWidth="1"/>
    <col min="11" max="12" width="12.58203125" style="30" customWidth="1"/>
    <col min="13" max="13" width="14.33203125" style="30" customWidth="1"/>
    <col min="14" max="14" width="19.08203125" style="30" customWidth="1"/>
    <col min="15" max="15" width="14.75" style="30" customWidth="1"/>
    <col min="16" max="16" width="12.58203125" style="30" customWidth="1"/>
    <col min="17" max="17" width="15.25" style="32" customWidth="1"/>
    <col min="18" max="18" width="11.83203125" style="30" customWidth="1"/>
    <col min="19" max="16384" width="9" style="30"/>
  </cols>
  <sheetData>
    <row r="1" spans="1:18" s="26" customFormat="1" ht="15" hidden="1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8" ht="18.5">
      <c r="A2" s="317" t="s">
        <v>20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</row>
    <row r="3" spans="1:18" ht="17.5" customHeight="1">
      <c r="A3" s="35"/>
      <c r="B3" s="320" t="s">
        <v>21</v>
      </c>
      <c r="C3" s="320"/>
      <c r="D3" s="30" t="s">
        <v>306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38"/>
    </row>
    <row r="4" spans="1:18" ht="18" customHeight="1">
      <c r="A4" s="35"/>
      <c r="B4" s="321" t="s">
        <v>22</v>
      </c>
      <c r="C4" s="321"/>
      <c r="D4" s="30" t="s">
        <v>305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139"/>
    </row>
    <row r="5" spans="1:18" ht="24" customHeight="1">
      <c r="A5" s="35"/>
      <c r="B5" s="322" t="s">
        <v>23</v>
      </c>
      <c r="C5" s="322"/>
      <c r="D5" s="30" t="s">
        <v>24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139"/>
    </row>
    <row r="6" spans="1:18" s="26" customFormat="1" ht="59.5" customHeight="1">
      <c r="A6" s="38" t="s">
        <v>25</v>
      </c>
      <c r="B6" s="39" t="s">
        <v>26</v>
      </c>
      <c r="C6" s="39" t="s">
        <v>27</v>
      </c>
      <c r="D6" s="40" t="s">
        <v>2</v>
      </c>
      <c r="E6" s="39" t="s">
        <v>28</v>
      </c>
      <c r="F6" s="39" t="s">
        <v>29</v>
      </c>
      <c r="G6" s="39" t="s">
        <v>30</v>
      </c>
      <c r="H6" s="39" t="s">
        <v>31</v>
      </c>
      <c r="I6" s="39" t="s">
        <v>32</v>
      </c>
      <c r="J6" s="39" t="s">
        <v>33</v>
      </c>
      <c r="K6" s="39" t="s">
        <v>34</v>
      </c>
      <c r="L6" s="39" t="s">
        <v>35</v>
      </c>
      <c r="M6" s="39" t="s">
        <v>36</v>
      </c>
      <c r="N6" s="39" t="s">
        <v>37</v>
      </c>
      <c r="O6" s="39" t="s">
        <v>38</v>
      </c>
      <c r="P6" s="39" t="s">
        <v>39</v>
      </c>
      <c r="Q6" s="140" t="s">
        <v>40</v>
      </c>
    </row>
    <row r="7" spans="1:18" s="27" customFormat="1" ht="18" customHeight="1">
      <c r="A7" s="41"/>
      <c r="B7" s="42"/>
      <c r="C7" s="43">
        <v>1</v>
      </c>
      <c r="D7" s="44" t="s">
        <v>41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41"/>
    </row>
    <row r="8" spans="1:18" ht="18" customHeight="1">
      <c r="A8" s="45">
        <f>IF(F8&lt;&gt;"",1+MAX($A$2:A7),"")</f>
        <v>1</v>
      </c>
      <c r="B8" s="46"/>
      <c r="C8" s="46"/>
      <c r="D8" s="47" t="s">
        <v>42</v>
      </c>
      <c r="E8" s="48">
        <v>1</v>
      </c>
      <c r="F8" s="49">
        <v>0</v>
      </c>
      <c r="G8" s="50">
        <f t="shared" ref="G8:G14" si="0">(F8*E8)+E8</f>
        <v>1</v>
      </c>
      <c r="H8" s="48" t="s">
        <v>43</v>
      </c>
      <c r="I8" s="113">
        <v>0</v>
      </c>
      <c r="J8" s="114">
        <f t="shared" ref="J8:J14" si="1">+I8*G8</f>
        <v>0</v>
      </c>
      <c r="K8" s="115">
        <v>0</v>
      </c>
      <c r="L8" s="116">
        <f t="shared" ref="L8:L14" si="2">I8*K8</f>
        <v>0</v>
      </c>
      <c r="M8" s="116">
        <f t="shared" ref="M8:M14" si="3">K8*J8</f>
        <v>0</v>
      </c>
      <c r="N8" s="116">
        <v>0</v>
      </c>
      <c r="O8" s="116">
        <f t="shared" ref="O8:O14" si="4">N8*G8</f>
        <v>0</v>
      </c>
      <c r="P8" s="116">
        <f>(I8*K8)+N8</f>
        <v>0</v>
      </c>
      <c r="Q8" s="325">
        <v>18600</v>
      </c>
      <c r="R8" s="143"/>
    </row>
    <row r="9" spans="1:18" ht="18" customHeight="1">
      <c r="A9" s="51">
        <f>IF(F9&lt;&gt;"",1+MAX($A$2:A8),"")</f>
        <v>2</v>
      </c>
      <c r="B9" s="52"/>
      <c r="C9" s="52"/>
      <c r="D9" s="53" t="s">
        <v>44</v>
      </c>
      <c r="E9" s="54">
        <v>1</v>
      </c>
      <c r="F9" s="55">
        <v>0</v>
      </c>
      <c r="G9" s="56">
        <f t="shared" si="0"/>
        <v>1</v>
      </c>
      <c r="H9" s="54" t="s">
        <v>43</v>
      </c>
      <c r="I9" s="113">
        <v>0</v>
      </c>
      <c r="J9" s="114">
        <f t="shared" si="1"/>
        <v>0</v>
      </c>
      <c r="K9" s="115">
        <v>0</v>
      </c>
      <c r="L9" s="116">
        <f t="shared" si="2"/>
        <v>0</v>
      </c>
      <c r="M9" s="116">
        <f t="shared" si="3"/>
        <v>0</v>
      </c>
      <c r="N9" s="116">
        <v>0</v>
      </c>
      <c r="O9" s="116">
        <f t="shared" si="4"/>
        <v>0</v>
      </c>
      <c r="P9" s="116">
        <f t="shared" ref="P9:P14" si="5">(I9*K9)+N9</f>
        <v>0</v>
      </c>
      <c r="Q9" s="326"/>
      <c r="R9" s="143"/>
    </row>
    <row r="10" spans="1:18" ht="18" customHeight="1">
      <c r="A10" s="51">
        <f>IF(F10&lt;&gt;"",1+MAX($A$2:A9),"")</f>
        <v>3</v>
      </c>
      <c r="B10" s="52"/>
      <c r="C10" s="52"/>
      <c r="D10" s="53" t="s">
        <v>45</v>
      </c>
      <c r="E10" s="54">
        <v>1</v>
      </c>
      <c r="F10" s="55">
        <v>0</v>
      </c>
      <c r="G10" s="56">
        <f t="shared" si="0"/>
        <v>1</v>
      </c>
      <c r="H10" s="54" t="s">
        <v>43</v>
      </c>
      <c r="I10" s="113">
        <v>0</v>
      </c>
      <c r="J10" s="114">
        <f t="shared" si="1"/>
        <v>0</v>
      </c>
      <c r="K10" s="115">
        <v>0</v>
      </c>
      <c r="L10" s="116">
        <f t="shared" si="2"/>
        <v>0</v>
      </c>
      <c r="M10" s="116">
        <f t="shared" si="3"/>
        <v>0</v>
      </c>
      <c r="N10" s="116">
        <v>0</v>
      </c>
      <c r="O10" s="116">
        <f t="shared" si="4"/>
        <v>0</v>
      </c>
      <c r="P10" s="116">
        <f t="shared" si="5"/>
        <v>0</v>
      </c>
      <c r="Q10" s="326"/>
      <c r="R10" s="143"/>
    </row>
    <row r="11" spans="1:18" ht="18" customHeight="1">
      <c r="A11" s="51">
        <f>IF(F11&lt;&gt;"",1+MAX($A$2:A10),"")</f>
        <v>4</v>
      </c>
      <c r="B11" s="52"/>
      <c r="C11" s="52"/>
      <c r="D11" s="53" t="s">
        <v>46</v>
      </c>
      <c r="E11" s="54">
        <v>1</v>
      </c>
      <c r="F11" s="55">
        <v>0</v>
      </c>
      <c r="G11" s="56">
        <f t="shared" si="0"/>
        <v>1</v>
      </c>
      <c r="H11" s="54" t="s">
        <v>43</v>
      </c>
      <c r="I11" s="113">
        <v>0</v>
      </c>
      <c r="J11" s="114">
        <f t="shared" si="1"/>
        <v>0</v>
      </c>
      <c r="K11" s="115">
        <v>0</v>
      </c>
      <c r="L11" s="116">
        <f t="shared" si="2"/>
        <v>0</v>
      </c>
      <c r="M11" s="116">
        <f t="shared" si="3"/>
        <v>0</v>
      </c>
      <c r="N11" s="116">
        <v>0</v>
      </c>
      <c r="O11" s="116">
        <f t="shared" si="4"/>
        <v>0</v>
      </c>
      <c r="P11" s="116">
        <f t="shared" si="5"/>
        <v>0</v>
      </c>
      <c r="Q11" s="326"/>
      <c r="R11" s="143"/>
    </row>
    <row r="12" spans="1:18" ht="18" customHeight="1">
      <c r="A12" s="51">
        <f>IF(F12&lt;&gt;"",1+MAX($A$2:A11),"")</f>
        <v>5</v>
      </c>
      <c r="B12" s="52"/>
      <c r="C12" s="52"/>
      <c r="D12" s="53" t="s">
        <v>47</v>
      </c>
      <c r="E12" s="54">
        <v>1</v>
      </c>
      <c r="F12" s="55">
        <v>0</v>
      </c>
      <c r="G12" s="56">
        <f t="shared" si="0"/>
        <v>1</v>
      </c>
      <c r="H12" s="54" t="s">
        <v>43</v>
      </c>
      <c r="I12" s="113">
        <v>0</v>
      </c>
      <c r="J12" s="114">
        <f t="shared" si="1"/>
        <v>0</v>
      </c>
      <c r="K12" s="115">
        <v>0</v>
      </c>
      <c r="L12" s="116">
        <f t="shared" si="2"/>
        <v>0</v>
      </c>
      <c r="M12" s="116">
        <f t="shared" si="3"/>
        <v>0</v>
      </c>
      <c r="N12" s="116">
        <v>0</v>
      </c>
      <c r="O12" s="116">
        <f t="shared" si="4"/>
        <v>0</v>
      </c>
      <c r="P12" s="116">
        <f t="shared" si="5"/>
        <v>0</v>
      </c>
      <c r="Q12" s="326"/>
      <c r="R12" s="143"/>
    </row>
    <row r="13" spans="1:18" ht="18" customHeight="1">
      <c r="A13" s="51">
        <f>IF(F13&lt;&gt;"",1+MAX($A$2:A12),"")</f>
        <v>6</v>
      </c>
      <c r="B13" s="52"/>
      <c r="C13" s="52"/>
      <c r="D13" s="53" t="s">
        <v>48</v>
      </c>
      <c r="E13" s="54">
        <v>1</v>
      </c>
      <c r="F13" s="55">
        <v>0</v>
      </c>
      <c r="G13" s="56">
        <f t="shared" si="0"/>
        <v>1</v>
      </c>
      <c r="H13" s="54" t="s">
        <v>43</v>
      </c>
      <c r="I13" s="113">
        <v>0</v>
      </c>
      <c r="J13" s="114">
        <f t="shared" si="1"/>
        <v>0</v>
      </c>
      <c r="K13" s="115">
        <v>0</v>
      </c>
      <c r="L13" s="116">
        <f t="shared" si="2"/>
        <v>0</v>
      </c>
      <c r="M13" s="116">
        <f t="shared" si="3"/>
        <v>0</v>
      </c>
      <c r="N13" s="116">
        <v>0</v>
      </c>
      <c r="O13" s="116">
        <f t="shared" si="4"/>
        <v>0</v>
      </c>
      <c r="P13" s="116">
        <f t="shared" si="5"/>
        <v>0</v>
      </c>
      <c r="Q13" s="326"/>
      <c r="R13" s="143"/>
    </row>
    <row r="14" spans="1:18" ht="18" customHeight="1">
      <c r="A14" s="51">
        <f>IF(F14&lt;&gt;"",1+MAX($A$2:A13),"")</f>
        <v>7</v>
      </c>
      <c r="B14" s="52"/>
      <c r="C14" s="52"/>
      <c r="D14" s="57" t="s">
        <v>49</v>
      </c>
      <c r="E14" s="58">
        <v>1</v>
      </c>
      <c r="F14" s="59">
        <v>0</v>
      </c>
      <c r="G14" s="60">
        <f t="shared" si="0"/>
        <v>1</v>
      </c>
      <c r="H14" s="58" t="s">
        <v>43</v>
      </c>
      <c r="I14" s="117">
        <v>0</v>
      </c>
      <c r="J14" s="118">
        <f t="shared" si="1"/>
        <v>0</v>
      </c>
      <c r="K14" s="119">
        <v>0</v>
      </c>
      <c r="L14" s="120">
        <f t="shared" si="2"/>
        <v>0</v>
      </c>
      <c r="M14" s="120">
        <f t="shared" si="3"/>
        <v>0</v>
      </c>
      <c r="N14" s="120">
        <v>0</v>
      </c>
      <c r="O14" s="120">
        <f t="shared" si="4"/>
        <v>0</v>
      </c>
      <c r="P14" s="116">
        <f t="shared" si="5"/>
        <v>0</v>
      </c>
      <c r="Q14" s="327"/>
      <c r="R14" s="143"/>
    </row>
    <row r="15" spans="1:18" ht="18" customHeight="1">
      <c r="A15" s="61" t="str">
        <f>IF(F15&lt;&gt;"",1+MAX($A$2:A14),"")</f>
        <v/>
      </c>
      <c r="B15" s="62"/>
      <c r="C15" s="62"/>
      <c r="D15" s="63" t="s">
        <v>50</v>
      </c>
      <c r="E15" s="58"/>
      <c r="F15" s="59"/>
      <c r="G15" s="60"/>
      <c r="H15" s="58"/>
      <c r="I15" s="117"/>
      <c r="J15" s="118"/>
      <c r="K15" s="119"/>
      <c r="L15" s="120"/>
      <c r="M15" s="120"/>
      <c r="N15" s="120"/>
      <c r="O15" s="120"/>
      <c r="P15" s="116"/>
      <c r="Q15" s="142"/>
      <c r="R15" s="143"/>
    </row>
    <row r="16" spans="1:18" s="26" customFormat="1">
      <c r="A16" s="64" t="str">
        <f>IF(F16&lt;&gt;"",1+MAX($A$2:A15),"")</f>
        <v/>
      </c>
      <c r="B16" s="65"/>
      <c r="C16" s="66"/>
      <c r="D16" s="67" t="s">
        <v>51</v>
      </c>
      <c r="E16" s="68"/>
      <c r="F16" s="68"/>
      <c r="G16" s="68"/>
      <c r="H16" s="68"/>
      <c r="I16" s="68"/>
      <c r="J16" s="68"/>
      <c r="K16" s="121"/>
      <c r="L16" s="121"/>
      <c r="M16" s="121"/>
      <c r="N16" s="121"/>
      <c r="O16" s="121"/>
      <c r="P16" s="121"/>
      <c r="Q16" s="144">
        <f>SUM(Q8:Q14)</f>
        <v>18600</v>
      </c>
      <c r="R16" s="145"/>
    </row>
    <row r="17" spans="1:19" s="26" customFormat="1">
      <c r="A17" s="64" t="str">
        <f>IF(F17&lt;&gt;"",1+MAX($A$2:A16),"")</f>
        <v/>
      </c>
      <c r="B17" s="65"/>
      <c r="C17" s="6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146"/>
      <c r="R17" s="145"/>
    </row>
    <row r="18" spans="1:19" s="28" customFormat="1">
      <c r="A18" s="41" t="str">
        <f>IF(F18&lt;&gt;"",1+MAX($A$2:A17),"")</f>
        <v/>
      </c>
      <c r="B18" s="42"/>
      <c r="C18" s="43">
        <v>3</v>
      </c>
      <c r="D18" s="70" t="s">
        <v>52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147"/>
      <c r="S18" s="148"/>
    </row>
    <row r="19" spans="1:19" ht="18" customHeight="1">
      <c r="A19" s="64" t="str">
        <f>IF(F19&lt;&gt;"",1+MAX($A$2:A18),"")</f>
        <v/>
      </c>
      <c r="B19" s="71"/>
      <c r="C19" s="66"/>
      <c r="D19" s="72" t="s">
        <v>53</v>
      </c>
      <c r="E19" s="73"/>
      <c r="F19" s="74"/>
      <c r="G19" s="56"/>
      <c r="H19" s="56"/>
      <c r="I19" s="122"/>
      <c r="J19" s="56"/>
      <c r="K19" s="123"/>
      <c r="L19" s="123"/>
      <c r="M19" s="123"/>
      <c r="N19" s="123"/>
      <c r="O19" s="123"/>
      <c r="P19" s="123"/>
      <c r="Q19" s="149"/>
      <c r="R19" s="143"/>
      <c r="S19" s="143"/>
    </row>
    <row r="20" spans="1:19" ht="18" customHeight="1">
      <c r="A20" s="61" t="str">
        <f>IF(F20&lt;&gt;"",1+MAX($A$2:A19),"")</f>
        <v/>
      </c>
      <c r="B20" s="75"/>
      <c r="C20" s="52"/>
      <c r="D20" s="76" t="s">
        <v>54</v>
      </c>
      <c r="E20" s="77">
        <v>2</v>
      </c>
      <c r="F20" s="78"/>
      <c r="G20" s="77"/>
      <c r="H20" s="79" t="s">
        <v>55</v>
      </c>
      <c r="I20" s="122"/>
      <c r="J20" s="56"/>
      <c r="K20" s="124"/>
      <c r="L20" s="124"/>
      <c r="M20" s="124"/>
      <c r="N20" s="124"/>
      <c r="O20" s="124"/>
      <c r="P20" s="124"/>
      <c r="Q20" s="149"/>
      <c r="R20" s="143"/>
      <c r="S20" s="143"/>
    </row>
    <row r="21" spans="1:19">
      <c r="A21" s="61">
        <f>IF(F21&lt;&gt;"",1+MAX($A$2:A20),"")</f>
        <v>8</v>
      </c>
      <c r="B21" s="75"/>
      <c r="C21" s="80"/>
      <c r="D21" s="47" t="s">
        <v>56</v>
      </c>
      <c r="E21" s="81">
        <f>+E20*2*2*0.037037037037037</f>
        <v>0.296296296296296</v>
      </c>
      <c r="F21" s="55">
        <v>0.1</v>
      </c>
      <c r="G21" s="81">
        <f t="shared" ref="G21" si="6">(F21*E21)+E21</f>
        <v>0.32592592592592601</v>
      </c>
      <c r="H21" s="54" t="s">
        <v>57</v>
      </c>
      <c r="I21" s="125">
        <v>2.42</v>
      </c>
      <c r="J21" s="114">
        <f t="shared" ref="J21" si="7">+I21*G21</f>
        <v>0.78874074074073997</v>
      </c>
      <c r="K21" s="115">
        <f>'LABOR SHEET'!C$13</f>
        <v>69.099999999999994</v>
      </c>
      <c r="L21" s="116">
        <f t="shared" ref="L21" si="8">I21*K21</f>
        <v>167.22200000000001</v>
      </c>
      <c r="M21" s="116">
        <f t="shared" ref="M21" si="9">K21*J21</f>
        <v>54.501985185185099</v>
      </c>
      <c r="N21" s="126">
        <v>168.2</v>
      </c>
      <c r="O21" s="116">
        <f t="shared" ref="O21" si="10">N21*G21</f>
        <v>54.820740740740703</v>
      </c>
      <c r="P21" s="116">
        <f t="shared" ref="P21" si="11">(I21*K21)+N21</f>
        <v>335.42200000000003</v>
      </c>
      <c r="Q21" s="150">
        <f t="shared" ref="Q21" si="12">P21*G21</f>
        <v>109.32272592592599</v>
      </c>
      <c r="R21" s="143"/>
      <c r="S21" s="143"/>
    </row>
    <row r="22" spans="1:19">
      <c r="A22" s="61">
        <f>IF(F22&lt;&gt;"",1+MAX($A$2:A21),"")</f>
        <v>9</v>
      </c>
      <c r="B22" s="75"/>
      <c r="C22" s="80"/>
      <c r="D22" s="47" t="s">
        <v>58</v>
      </c>
      <c r="E22" s="56">
        <f>2*2*E20*0.668</f>
        <v>5.3440000000000003</v>
      </c>
      <c r="F22" s="55">
        <v>0.05</v>
      </c>
      <c r="G22" s="56">
        <f t="shared" ref="G22:G43" si="13">(F22*E22)+E22</f>
        <v>5.6112000000000002</v>
      </c>
      <c r="H22" s="54" t="s">
        <v>59</v>
      </c>
      <c r="I22" s="125">
        <v>1.0999999999999999E-2</v>
      </c>
      <c r="J22" s="114">
        <f t="shared" ref="J22:J24" si="14">+I22*G22</f>
        <v>6.1723199999999999E-2</v>
      </c>
      <c r="K22" s="115">
        <f>'LABOR SHEET'!C$13</f>
        <v>69.099999999999994</v>
      </c>
      <c r="L22" s="116">
        <f t="shared" ref="L22:L24" si="15">I22*K22</f>
        <v>0.7601</v>
      </c>
      <c r="M22" s="116">
        <f t="shared" ref="M22:M24" si="16">K22*J22</f>
        <v>4.2650731200000003</v>
      </c>
      <c r="N22" s="126">
        <v>1</v>
      </c>
      <c r="O22" s="116">
        <f t="shared" ref="O22:O24" si="17">N22*G22</f>
        <v>5.6112000000000002</v>
      </c>
      <c r="P22" s="116">
        <f t="shared" ref="P22:P24" si="18">(I22*K22)+N22</f>
        <v>1.7601</v>
      </c>
      <c r="Q22" s="150">
        <f t="shared" ref="Q22:Q24" si="19">P22*G22</f>
        <v>9.8762731200000005</v>
      </c>
      <c r="R22" s="143"/>
      <c r="S22" s="143"/>
    </row>
    <row r="23" spans="1:19">
      <c r="A23" s="61">
        <f>IF(F23&lt;&gt;"",1+MAX($A$2:A22),"")</f>
        <v>10</v>
      </c>
      <c r="B23" s="75"/>
      <c r="C23" s="80"/>
      <c r="D23" s="47" t="s">
        <v>60</v>
      </c>
      <c r="E23" s="56">
        <f>+E20*4*1</f>
        <v>8</v>
      </c>
      <c r="F23" s="55">
        <v>0.1</v>
      </c>
      <c r="G23" s="56">
        <f t="shared" si="13"/>
        <v>8.8000000000000007</v>
      </c>
      <c r="H23" s="54" t="s">
        <v>61</v>
      </c>
      <c r="I23" s="125">
        <v>1.7999999999999999E-2</v>
      </c>
      <c r="J23" s="114">
        <f t="shared" si="14"/>
        <v>0.15840000000000001</v>
      </c>
      <c r="K23" s="115">
        <f>'LABOR SHEET'!C$13</f>
        <v>69.099999999999994</v>
      </c>
      <c r="L23" s="116">
        <f t="shared" si="15"/>
        <v>1.2438</v>
      </c>
      <c r="M23" s="116">
        <f t="shared" si="16"/>
        <v>10.94544</v>
      </c>
      <c r="N23" s="126">
        <v>3</v>
      </c>
      <c r="O23" s="116">
        <f t="shared" si="17"/>
        <v>26.4</v>
      </c>
      <c r="P23" s="116">
        <f t="shared" si="18"/>
        <v>4.2438000000000002</v>
      </c>
      <c r="Q23" s="150">
        <f t="shared" si="19"/>
        <v>37.345440000000004</v>
      </c>
      <c r="R23" s="143"/>
      <c r="S23" s="143"/>
    </row>
    <row r="24" spans="1:19">
      <c r="A24" s="61">
        <f>IF(F24&lt;&gt;"",1+MAX($A$2:A23),"")</f>
        <v>11</v>
      </c>
      <c r="B24" s="75"/>
      <c r="C24" s="80"/>
      <c r="D24" s="82" t="s">
        <v>62</v>
      </c>
      <c r="E24" s="56">
        <f>+E20*2*2*0.0740740740740741</f>
        <v>0.592592592592593</v>
      </c>
      <c r="F24" s="55">
        <v>0</v>
      </c>
      <c r="G24" s="56">
        <f t="shared" si="13"/>
        <v>0.592592592592593</v>
      </c>
      <c r="H24" s="54" t="s">
        <v>57</v>
      </c>
      <c r="I24" s="125">
        <v>0.7</v>
      </c>
      <c r="J24" s="114">
        <f t="shared" si="14"/>
        <v>0.41481481481481502</v>
      </c>
      <c r="K24" s="115">
        <f>'LABOR SHEET'!C$13</f>
        <v>69.099999999999994</v>
      </c>
      <c r="L24" s="116">
        <f t="shared" si="15"/>
        <v>48.37</v>
      </c>
      <c r="M24" s="116">
        <f t="shared" si="16"/>
        <v>28.6637037037037</v>
      </c>
      <c r="N24" s="126">
        <v>0</v>
      </c>
      <c r="O24" s="116">
        <f t="shared" si="17"/>
        <v>0</v>
      </c>
      <c r="P24" s="116">
        <f t="shared" si="18"/>
        <v>48.37</v>
      </c>
      <c r="Q24" s="150">
        <f t="shared" si="19"/>
        <v>28.6637037037037</v>
      </c>
      <c r="R24" s="143"/>
      <c r="S24" s="143"/>
    </row>
    <row r="25" spans="1:19" ht="18" customHeight="1">
      <c r="A25" s="61" t="str">
        <f>IF(F25&lt;&gt;"",1+MAX($A$2:A24),"")</f>
        <v/>
      </c>
      <c r="B25" s="75"/>
      <c r="C25" s="52"/>
      <c r="D25" s="76" t="s">
        <v>63</v>
      </c>
      <c r="E25" s="77">
        <v>123.28</v>
      </c>
      <c r="F25" s="78"/>
      <c r="G25" s="77"/>
      <c r="H25" s="79" t="s">
        <v>64</v>
      </c>
      <c r="I25" s="127"/>
      <c r="J25" s="56"/>
      <c r="K25" s="124"/>
      <c r="L25" s="124"/>
      <c r="M25" s="124"/>
      <c r="N25" s="128"/>
      <c r="O25" s="124"/>
      <c r="P25" s="124"/>
      <c r="Q25" s="149"/>
      <c r="R25" s="143"/>
      <c r="S25" s="143"/>
    </row>
    <row r="26" spans="1:19">
      <c r="A26" s="61">
        <f>IF(F26&lt;&gt;"",1+MAX($A$2:A25),"")</f>
        <v>12</v>
      </c>
      <c r="B26" s="75"/>
      <c r="C26" s="80"/>
      <c r="D26" s="47" t="s">
        <v>56</v>
      </c>
      <c r="E26" s="56">
        <f>+E25*1*0.037037037037037</f>
        <v>4.5659259259259199</v>
      </c>
      <c r="F26" s="55">
        <v>0.1</v>
      </c>
      <c r="G26" s="56">
        <f t="shared" ref="G26:G30" si="20">(F26*E26)+E26</f>
        <v>5.0225185185185097</v>
      </c>
      <c r="H26" s="54" t="s">
        <v>57</v>
      </c>
      <c r="I26" s="125">
        <v>2.42</v>
      </c>
      <c r="J26" s="114">
        <f t="shared" ref="J26" si="21">+I26*G26</f>
        <v>12.1544948148148</v>
      </c>
      <c r="K26" s="115">
        <f>'LABOR SHEET'!C$13</f>
        <v>69.099999999999994</v>
      </c>
      <c r="L26" s="116">
        <f t="shared" ref="L26" si="22">I26*K26</f>
        <v>167.22200000000001</v>
      </c>
      <c r="M26" s="116">
        <f t="shared" ref="M26" si="23">K26*J26</f>
        <v>839.87559170370298</v>
      </c>
      <c r="N26" s="126">
        <v>168.2</v>
      </c>
      <c r="O26" s="116">
        <f t="shared" ref="O26" si="24">N26*G26</f>
        <v>844.78761481481399</v>
      </c>
      <c r="P26" s="116">
        <f t="shared" ref="P26" si="25">(I26*K26)+N26</f>
        <v>335.42200000000003</v>
      </c>
      <c r="Q26" s="150">
        <f t="shared" ref="Q26" si="26">P26*G26</f>
        <v>1684.6632065185199</v>
      </c>
      <c r="R26" s="143"/>
      <c r="S26" s="143"/>
    </row>
    <row r="27" spans="1:19">
      <c r="A27" s="61">
        <f>IF(F27&lt;&gt;"",1+MAX($A$2:A26),"")</f>
        <v>13</v>
      </c>
      <c r="B27" s="75"/>
      <c r="C27" s="80"/>
      <c r="D27" s="47" t="s">
        <v>58</v>
      </c>
      <c r="E27" s="56">
        <f>2*E25*0.668</f>
        <v>164.70208</v>
      </c>
      <c r="F27" s="55">
        <v>0.05</v>
      </c>
      <c r="G27" s="56">
        <f t="shared" si="20"/>
        <v>172.937184</v>
      </c>
      <c r="H27" s="54" t="s">
        <v>59</v>
      </c>
      <c r="I27" s="125">
        <v>1.0999999999999999E-2</v>
      </c>
      <c r="J27" s="114">
        <f t="shared" ref="J27:J31" si="27">+I27*G27</f>
        <v>1.902309024</v>
      </c>
      <c r="K27" s="115">
        <f>'LABOR SHEET'!C$13</f>
        <v>69.099999999999994</v>
      </c>
      <c r="L27" s="116">
        <f t="shared" ref="L27:L31" si="28">I27*K27</f>
        <v>0.7601</v>
      </c>
      <c r="M27" s="116">
        <f t="shared" ref="M27:M31" si="29">K27*J27</f>
        <v>131.4495535584</v>
      </c>
      <c r="N27" s="126">
        <v>1</v>
      </c>
      <c r="O27" s="116">
        <f t="shared" ref="O27:O31" si="30">N27*G27</f>
        <v>172.937184</v>
      </c>
      <c r="P27" s="116">
        <f t="shared" ref="P27:P31" si="31">(I27*K27)+N27</f>
        <v>1.7601</v>
      </c>
      <c r="Q27" s="150">
        <f t="shared" ref="Q27:Q31" si="32">P27*G27</f>
        <v>304.3867375584</v>
      </c>
      <c r="R27" s="143"/>
      <c r="S27" s="143"/>
    </row>
    <row r="28" spans="1:19">
      <c r="A28" s="61">
        <f>IF(F28&lt;&gt;"",1+MAX($A$2:A27),"")</f>
        <v>14</v>
      </c>
      <c r="B28" s="75"/>
      <c r="C28" s="80"/>
      <c r="D28" s="47" t="s">
        <v>65</v>
      </c>
      <c r="E28" s="56">
        <f>+ROUNDUP(E25/4,0)*1.8*0.668</f>
        <v>37.2744</v>
      </c>
      <c r="F28" s="55">
        <v>0.05</v>
      </c>
      <c r="G28" s="56">
        <f t="shared" ref="G28" si="33">(F28*E28)+E28</f>
        <v>39.138120000000001</v>
      </c>
      <c r="H28" s="54" t="s">
        <v>59</v>
      </c>
      <c r="I28" s="125">
        <v>1.0999999999999999E-2</v>
      </c>
      <c r="J28" s="114">
        <f t="shared" si="27"/>
        <v>0.43051931999999998</v>
      </c>
      <c r="K28" s="115">
        <f>'LABOR SHEET'!C$13</f>
        <v>69.099999999999994</v>
      </c>
      <c r="L28" s="116">
        <f t="shared" si="28"/>
        <v>0.7601</v>
      </c>
      <c r="M28" s="116">
        <f t="shared" si="29"/>
        <v>29.748885011999999</v>
      </c>
      <c r="N28" s="126">
        <v>1</v>
      </c>
      <c r="O28" s="116">
        <f t="shared" si="30"/>
        <v>39.138120000000001</v>
      </c>
      <c r="P28" s="116">
        <f t="shared" si="31"/>
        <v>1.7601</v>
      </c>
      <c r="Q28" s="150">
        <f t="shared" si="32"/>
        <v>68.887005012000003</v>
      </c>
      <c r="R28" s="143"/>
      <c r="S28" s="143"/>
    </row>
    <row r="29" spans="1:19">
      <c r="A29" s="61">
        <f>IF(F29&lt;&gt;"",1+MAX($A$2:A28),"")</f>
        <v>15</v>
      </c>
      <c r="B29" s="75"/>
      <c r="C29" s="80"/>
      <c r="D29" s="47" t="s">
        <v>60</v>
      </c>
      <c r="E29" s="56">
        <f>+E25*2*1</f>
        <v>246.56</v>
      </c>
      <c r="F29" s="55">
        <v>0.1</v>
      </c>
      <c r="G29" s="56">
        <f t="shared" si="20"/>
        <v>271.21600000000001</v>
      </c>
      <c r="H29" s="54" t="s">
        <v>61</v>
      </c>
      <c r="I29" s="125">
        <v>1.7999999999999999E-2</v>
      </c>
      <c r="J29" s="114">
        <f t="shared" si="27"/>
        <v>4.881888</v>
      </c>
      <c r="K29" s="115">
        <f>'LABOR SHEET'!C$13</f>
        <v>69.099999999999994</v>
      </c>
      <c r="L29" s="116">
        <f t="shared" si="28"/>
        <v>1.2438</v>
      </c>
      <c r="M29" s="116">
        <f t="shared" si="29"/>
        <v>337.33846080000001</v>
      </c>
      <c r="N29" s="126">
        <v>3</v>
      </c>
      <c r="O29" s="116">
        <f t="shared" si="30"/>
        <v>813.64800000000002</v>
      </c>
      <c r="P29" s="116">
        <f t="shared" si="31"/>
        <v>4.2438000000000002</v>
      </c>
      <c r="Q29" s="150">
        <f t="shared" si="32"/>
        <v>1150.9864608</v>
      </c>
      <c r="R29" s="143"/>
      <c r="S29" s="143"/>
    </row>
    <row r="30" spans="1:19">
      <c r="A30" s="61">
        <f>IF(F30&lt;&gt;"",1+MAX($A$2:A29),"")</f>
        <v>16</v>
      </c>
      <c r="B30" s="75"/>
      <c r="C30" s="80"/>
      <c r="D30" s="82" t="s">
        <v>62</v>
      </c>
      <c r="E30" s="56">
        <f>+E25*1.17*0.037037037037037</f>
        <v>5.3421333333333303</v>
      </c>
      <c r="F30" s="55">
        <v>0</v>
      </c>
      <c r="G30" s="56">
        <f t="shared" si="20"/>
        <v>5.3421333333333303</v>
      </c>
      <c r="H30" s="54" t="s">
        <v>57</v>
      </c>
      <c r="I30" s="125">
        <v>0.7</v>
      </c>
      <c r="J30" s="114">
        <f t="shared" si="27"/>
        <v>3.7394933333333298</v>
      </c>
      <c r="K30" s="115">
        <f>'LABOR SHEET'!C$13</f>
        <v>69.099999999999994</v>
      </c>
      <c r="L30" s="116">
        <f t="shared" si="28"/>
        <v>48.37</v>
      </c>
      <c r="M30" s="116">
        <f t="shared" si="29"/>
        <v>258.39898933333302</v>
      </c>
      <c r="N30" s="126">
        <v>0</v>
      </c>
      <c r="O30" s="116">
        <f t="shared" si="30"/>
        <v>0</v>
      </c>
      <c r="P30" s="116">
        <f t="shared" si="31"/>
        <v>48.37</v>
      </c>
      <c r="Q30" s="150">
        <f t="shared" si="32"/>
        <v>258.39898933333302</v>
      </c>
      <c r="R30" s="143"/>
      <c r="S30" s="143"/>
    </row>
    <row r="31" spans="1:19">
      <c r="A31" s="61">
        <f>IF(F31&lt;&gt;"",1+MAX($A$2:A30),"")</f>
        <v>17</v>
      </c>
      <c r="B31" s="75"/>
      <c r="C31" s="80"/>
      <c r="D31" s="82" t="s">
        <v>66</v>
      </c>
      <c r="E31" s="56">
        <f>+E30-E26</f>
        <v>0.77620740740740601</v>
      </c>
      <c r="F31" s="55">
        <v>0</v>
      </c>
      <c r="G31" s="56">
        <f t="shared" ref="G31" si="34">(F31*E31)+E31</f>
        <v>0.77620740740740601</v>
      </c>
      <c r="H31" s="54" t="s">
        <v>57</v>
      </c>
      <c r="I31" s="125">
        <v>0.55000000000000004</v>
      </c>
      <c r="J31" s="114">
        <f t="shared" si="27"/>
        <v>0.426914074074073</v>
      </c>
      <c r="K31" s="115">
        <f>'LABOR SHEET'!C$13</f>
        <v>69.099999999999994</v>
      </c>
      <c r="L31" s="116">
        <f t="shared" si="28"/>
        <v>38.005000000000003</v>
      </c>
      <c r="M31" s="116">
        <f t="shared" si="29"/>
        <v>29.499762518518502</v>
      </c>
      <c r="N31" s="126">
        <v>0</v>
      </c>
      <c r="O31" s="116">
        <f t="shared" si="30"/>
        <v>0</v>
      </c>
      <c r="P31" s="116">
        <f t="shared" si="31"/>
        <v>38.005000000000003</v>
      </c>
      <c r="Q31" s="150">
        <f t="shared" si="32"/>
        <v>29.499762518518502</v>
      </c>
      <c r="R31" s="143"/>
      <c r="S31" s="143"/>
    </row>
    <row r="32" spans="1:19">
      <c r="A32" s="61" t="str">
        <f>IF(F32&lt;&gt;"",1+MAX($A$2:A31),"")</f>
        <v/>
      </c>
      <c r="B32" s="75"/>
      <c r="C32" s="83"/>
      <c r="D32" s="47"/>
      <c r="E32" s="84"/>
      <c r="F32" s="55"/>
      <c r="G32" s="56"/>
      <c r="H32" s="54"/>
      <c r="I32" s="125"/>
      <c r="J32" s="114"/>
      <c r="K32" s="115"/>
      <c r="L32" s="116"/>
      <c r="M32" s="116"/>
      <c r="N32" s="126"/>
      <c r="O32" s="116"/>
      <c r="P32" s="116"/>
      <c r="Q32" s="150"/>
      <c r="R32" s="143"/>
      <c r="S32" s="143"/>
    </row>
    <row r="33" spans="1:19" ht="18" customHeight="1">
      <c r="A33" s="64" t="str">
        <f>IF(F33&lt;&gt;"",1+MAX($A$2:A32),"")</f>
        <v/>
      </c>
      <c r="B33" s="71"/>
      <c r="C33" s="66"/>
      <c r="D33" s="72" t="s">
        <v>67</v>
      </c>
      <c r="E33" s="73"/>
      <c r="F33" s="74"/>
      <c r="G33" s="56"/>
      <c r="H33" s="56"/>
      <c r="I33" s="127"/>
      <c r="J33" s="56"/>
      <c r="K33" s="123"/>
      <c r="L33" s="123"/>
      <c r="M33" s="123"/>
      <c r="N33" s="129"/>
      <c r="O33" s="123"/>
      <c r="P33" s="123"/>
      <c r="Q33" s="149"/>
      <c r="R33" s="143"/>
      <c r="S33" s="143"/>
    </row>
    <row r="34" spans="1:19" ht="18" customHeight="1">
      <c r="A34" s="61" t="str">
        <f>IF(F34&lt;&gt;"",1+MAX($A$2:A33),"")</f>
        <v/>
      </c>
      <c r="B34" s="75"/>
      <c r="C34" s="52"/>
      <c r="D34" s="76" t="s">
        <v>68</v>
      </c>
      <c r="E34" s="77">
        <v>2</v>
      </c>
      <c r="F34" s="78"/>
      <c r="G34" s="77"/>
      <c r="H34" s="79" t="s">
        <v>55</v>
      </c>
      <c r="I34" s="127"/>
      <c r="J34" s="56"/>
      <c r="K34" s="124"/>
      <c r="L34" s="124"/>
      <c r="M34" s="124"/>
      <c r="N34" s="128"/>
      <c r="O34" s="124"/>
      <c r="P34" s="124"/>
      <c r="Q34" s="149"/>
      <c r="R34" s="143"/>
      <c r="S34" s="143"/>
    </row>
    <row r="35" spans="1:19">
      <c r="A35" s="61">
        <f>IF(F35&lt;&gt;"",1+MAX($A$2:A34),"")</f>
        <v>18</v>
      </c>
      <c r="B35" s="75"/>
      <c r="C35" s="80"/>
      <c r="D35" s="47" t="s">
        <v>56</v>
      </c>
      <c r="E35" s="81">
        <f>+E34*2*2*1.5/27</f>
        <v>0.44444444444444398</v>
      </c>
      <c r="F35" s="55">
        <v>0.1</v>
      </c>
      <c r="G35" s="81">
        <f t="shared" ref="G35" si="35">(F35*E35)+E35</f>
        <v>0.48888888888888898</v>
      </c>
      <c r="H35" s="54" t="s">
        <v>57</v>
      </c>
      <c r="I35" s="125">
        <v>2.21</v>
      </c>
      <c r="J35" s="114">
        <f t="shared" ref="J35" si="36">+I35*G35</f>
        <v>1.0804444444444401</v>
      </c>
      <c r="K35" s="115">
        <f>'LABOR SHEET'!C$13</f>
        <v>69.099999999999994</v>
      </c>
      <c r="L35" s="116">
        <f t="shared" ref="L35" si="37">I35*K35</f>
        <v>152.71100000000001</v>
      </c>
      <c r="M35" s="116">
        <f t="shared" ref="M35" si="38">K35*J35</f>
        <v>74.658711111111103</v>
      </c>
      <c r="N35" s="126">
        <v>168.2</v>
      </c>
      <c r="O35" s="116">
        <f t="shared" ref="O35" si="39">N35*G35</f>
        <v>82.231111111111105</v>
      </c>
      <c r="P35" s="116">
        <f t="shared" ref="P35" si="40">(I35*K35)+N35</f>
        <v>320.911</v>
      </c>
      <c r="Q35" s="150">
        <f t="shared" ref="Q35" si="41">P35*G35</f>
        <v>156.88982222222199</v>
      </c>
      <c r="R35" s="143"/>
      <c r="S35" s="143"/>
    </row>
    <row r="36" spans="1:19">
      <c r="A36" s="61">
        <f>IF(F36&lt;&gt;"",1+MAX($A$2:A35),"")</f>
        <v>19</v>
      </c>
      <c r="B36" s="75"/>
      <c r="C36" s="80"/>
      <c r="D36" s="47" t="s">
        <v>69</v>
      </c>
      <c r="E36" s="56">
        <f>8*2.5*E34*1.043</f>
        <v>41.72</v>
      </c>
      <c r="F36" s="55">
        <v>0.05</v>
      </c>
      <c r="G36" s="56">
        <f t="shared" si="13"/>
        <v>43.805999999999997</v>
      </c>
      <c r="H36" s="54" t="s">
        <v>59</v>
      </c>
      <c r="I36" s="125">
        <v>1.0999999999999999E-2</v>
      </c>
      <c r="J36" s="114">
        <f t="shared" ref="J36:J38" si="42">+I36*G36</f>
        <v>0.48186600000000002</v>
      </c>
      <c r="K36" s="115">
        <f>'LABOR SHEET'!C$13</f>
        <v>69.099999999999994</v>
      </c>
      <c r="L36" s="116">
        <f t="shared" ref="L36:L38" si="43">I36*K36</f>
        <v>0.7601</v>
      </c>
      <c r="M36" s="116">
        <f t="shared" ref="M36:M38" si="44">K36*J36</f>
        <v>33.296940599999999</v>
      </c>
      <c r="N36" s="126">
        <v>1</v>
      </c>
      <c r="O36" s="116">
        <f t="shared" ref="O36:O38" si="45">N36*G36</f>
        <v>43.805999999999997</v>
      </c>
      <c r="P36" s="116">
        <f t="shared" ref="P36:P38" si="46">(I36*K36)+N36</f>
        <v>1.7601</v>
      </c>
      <c r="Q36" s="150">
        <f t="shared" ref="Q36:Q38" si="47">P36*G36</f>
        <v>77.102940599999997</v>
      </c>
      <c r="R36" s="143"/>
      <c r="S36" s="143"/>
    </row>
    <row r="37" spans="1:19">
      <c r="A37" s="61">
        <f>IF(F37&lt;&gt;"",1+MAX($A$2:A36),"")</f>
        <v>20</v>
      </c>
      <c r="B37" s="75"/>
      <c r="C37" s="80"/>
      <c r="D37" s="47" t="s">
        <v>70</v>
      </c>
      <c r="E37" s="56">
        <f>+(1.83*4+0.5)*6*0.376*E34</f>
        <v>35.283839999999998</v>
      </c>
      <c r="F37" s="55">
        <v>0.05</v>
      </c>
      <c r="G37" s="56">
        <f t="shared" si="13"/>
        <v>37.048031999999999</v>
      </c>
      <c r="H37" s="54" t="s">
        <v>59</v>
      </c>
      <c r="I37" s="125">
        <v>1.0999999999999999E-2</v>
      </c>
      <c r="J37" s="114">
        <f t="shared" si="42"/>
        <v>0.40752835199999998</v>
      </c>
      <c r="K37" s="115">
        <f>'LABOR SHEET'!C$13</f>
        <v>69.099999999999994</v>
      </c>
      <c r="L37" s="116">
        <f t="shared" si="43"/>
        <v>0.7601</v>
      </c>
      <c r="M37" s="116">
        <f t="shared" si="44"/>
        <v>28.160209123200001</v>
      </c>
      <c r="N37" s="126">
        <v>1</v>
      </c>
      <c r="O37" s="116">
        <f t="shared" si="45"/>
        <v>37.048031999999999</v>
      </c>
      <c r="P37" s="116">
        <f t="shared" si="46"/>
        <v>1.7601</v>
      </c>
      <c r="Q37" s="150">
        <f t="shared" si="47"/>
        <v>65.208241123199997</v>
      </c>
      <c r="R37" s="143"/>
      <c r="S37" s="143"/>
    </row>
    <row r="38" spans="1:19">
      <c r="A38" s="61">
        <f>IF(F38&lt;&gt;"",1+MAX($A$2:A37),"")</f>
        <v>21</v>
      </c>
      <c r="B38" s="75"/>
      <c r="C38" s="80"/>
      <c r="D38" s="47" t="s">
        <v>60</v>
      </c>
      <c r="E38" s="56">
        <f>+E34*(8*1.5)</f>
        <v>24</v>
      </c>
      <c r="F38" s="55">
        <v>0.1</v>
      </c>
      <c r="G38" s="56">
        <f t="shared" si="13"/>
        <v>26.4</v>
      </c>
      <c r="H38" s="54" t="s">
        <v>61</v>
      </c>
      <c r="I38" s="125">
        <v>1.7999999999999999E-2</v>
      </c>
      <c r="J38" s="114">
        <f t="shared" si="42"/>
        <v>0.47520000000000001</v>
      </c>
      <c r="K38" s="115">
        <f>'LABOR SHEET'!C$13</f>
        <v>69.099999999999994</v>
      </c>
      <c r="L38" s="116">
        <f t="shared" si="43"/>
        <v>1.2438</v>
      </c>
      <c r="M38" s="116">
        <f t="shared" si="44"/>
        <v>32.836320000000001</v>
      </c>
      <c r="N38" s="126">
        <v>3</v>
      </c>
      <c r="O38" s="116">
        <f t="shared" si="45"/>
        <v>79.2</v>
      </c>
      <c r="P38" s="116">
        <f t="shared" si="46"/>
        <v>4.2438000000000002</v>
      </c>
      <c r="Q38" s="150">
        <f t="shared" si="47"/>
        <v>112.03632</v>
      </c>
      <c r="R38" s="143"/>
      <c r="S38" s="143"/>
    </row>
    <row r="39" spans="1:19">
      <c r="A39" s="61" t="str">
        <f>IF(F39&lt;&gt;"",1+MAX($A$2:A38),"")</f>
        <v/>
      </c>
      <c r="B39" s="75"/>
      <c r="C39" s="83"/>
      <c r="D39" s="47"/>
      <c r="E39" s="84"/>
      <c r="F39" s="55"/>
      <c r="G39" s="56"/>
      <c r="H39" s="54"/>
      <c r="I39" s="125"/>
      <c r="J39" s="114"/>
      <c r="K39" s="115"/>
      <c r="L39" s="116"/>
      <c r="M39" s="116"/>
      <c r="N39" s="126"/>
      <c r="O39" s="116"/>
      <c r="P39" s="116"/>
      <c r="Q39" s="150"/>
      <c r="R39" s="143"/>
      <c r="S39" s="143"/>
    </row>
    <row r="40" spans="1:19" ht="18" customHeight="1">
      <c r="A40" s="64" t="str">
        <f>IF(F40&lt;&gt;"",1+MAX($A$2:A39),"")</f>
        <v/>
      </c>
      <c r="B40" s="71"/>
      <c r="C40" s="66"/>
      <c r="D40" s="72" t="s">
        <v>71</v>
      </c>
      <c r="E40" s="73"/>
      <c r="F40" s="74"/>
      <c r="G40" s="56"/>
      <c r="H40" s="56"/>
      <c r="I40" s="127"/>
      <c r="J40" s="56"/>
      <c r="K40" s="123"/>
      <c r="L40" s="123"/>
      <c r="M40" s="123"/>
      <c r="N40" s="129"/>
      <c r="O40" s="123"/>
      <c r="P40" s="123"/>
      <c r="Q40" s="149"/>
      <c r="R40" s="143"/>
      <c r="S40" s="143"/>
    </row>
    <row r="41" spans="1:19">
      <c r="A41" s="61">
        <f>IF(F41&lt;&gt;"",1+MAX($A$2:A40),"")</f>
        <v>22</v>
      </c>
      <c r="B41" s="75"/>
      <c r="C41" s="80"/>
      <c r="D41" s="47" t="s">
        <v>72</v>
      </c>
      <c r="E41" s="56">
        <f>768.33*(4/12)/27</f>
        <v>9.4855555555555604</v>
      </c>
      <c r="F41" s="55">
        <v>0.1</v>
      </c>
      <c r="G41" s="56">
        <f t="shared" si="13"/>
        <v>10.4341111111111</v>
      </c>
      <c r="H41" s="54" t="s">
        <v>57</v>
      </c>
      <c r="I41" s="125">
        <v>2.21</v>
      </c>
      <c r="J41" s="114">
        <f t="shared" ref="J41" si="48">+I41*G41</f>
        <v>23.0593855555556</v>
      </c>
      <c r="K41" s="115">
        <f>'LABOR SHEET'!C$13</f>
        <v>69.099999999999994</v>
      </c>
      <c r="L41" s="116">
        <f t="shared" ref="L41" si="49">I41*K41</f>
        <v>152.71100000000001</v>
      </c>
      <c r="M41" s="116">
        <f t="shared" ref="M41" si="50">K41*J41</f>
        <v>1593.40354188889</v>
      </c>
      <c r="N41" s="126">
        <v>168.2</v>
      </c>
      <c r="O41" s="116">
        <f t="shared" ref="O41" si="51">N41*G41</f>
        <v>1755.0174888888901</v>
      </c>
      <c r="P41" s="116">
        <f t="shared" ref="P41" si="52">(I41*K41)+N41</f>
        <v>320.911</v>
      </c>
      <c r="Q41" s="150">
        <f t="shared" ref="Q41" si="53">P41*G41</f>
        <v>3348.4210307777798</v>
      </c>
      <c r="R41" s="143"/>
      <c r="S41" s="143"/>
    </row>
    <row r="42" spans="1:19">
      <c r="A42" s="61">
        <f>IF(F42&lt;&gt;"",1+MAX($A$2:A41),"")</f>
        <v>23</v>
      </c>
      <c r="B42" s="75"/>
      <c r="C42" s="80"/>
      <c r="D42" s="47" t="s">
        <v>73</v>
      </c>
      <c r="E42" s="56">
        <v>768.33</v>
      </c>
      <c r="F42" s="55">
        <v>0.1</v>
      </c>
      <c r="G42" s="56">
        <f t="shared" ref="G42" si="54">(F42*E42)+E42</f>
        <v>845.16300000000001</v>
      </c>
      <c r="H42" s="54" t="s">
        <v>61</v>
      </c>
      <c r="I42" s="125">
        <v>8.0000000000000002E-3</v>
      </c>
      <c r="J42" s="114">
        <f t="shared" ref="J42:J44" si="55">+I42*G42</f>
        <v>6.761304</v>
      </c>
      <c r="K42" s="115">
        <f>'LABOR SHEET'!C$13</f>
        <v>69.099999999999994</v>
      </c>
      <c r="L42" s="116">
        <f t="shared" ref="L42:L44" si="56">I42*K42</f>
        <v>0.55279999999999996</v>
      </c>
      <c r="M42" s="116">
        <f t="shared" ref="M42:M44" si="57">K42*J42</f>
        <v>467.20610640000001</v>
      </c>
      <c r="N42" s="126">
        <v>0.34</v>
      </c>
      <c r="O42" s="116">
        <f t="shared" ref="O42:O44" si="58">N42*G42</f>
        <v>287.35541999999998</v>
      </c>
      <c r="P42" s="116">
        <f t="shared" ref="P42:P44" si="59">(I42*K42)+N42</f>
        <v>0.89280000000000004</v>
      </c>
      <c r="Q42" s="150">
        <f t="shared" ref="Q42:Q44" si="60">P42*G42</f>
        <v>754.56152640000005</v>
      </c>
      <c r="R42" s="143"/>
      <c r="S42" s="143"/>
    </row>
    <row r="43" spans="1:19" ht="18" customHeight="1">
      <c r="A43" s="61">
        <f>IF(F43&lt;&gt;"",1+MAX($A$2:A42),"")</f>
        <v>24</v>
      </c>
      <c r="B43" s="75"/>
      <c r="C43" s="52"/>
      <c r="D43" s="47" t="s">
        <v>74</v>
      </c>
      <c r="E43" s="81">
        <f>+E41*0.33/27</f>
        <v>0.11593456790123501</v>
      </c>
      <c r="F43" s="55">
        <v>0.1</v>
      </c>
      <c r="G43" s="81">
        <f t="shared" si="13"/>
        <v>0.12752802469135799</v>
      </c>
      <c r="H43" s="54" t="s">
        <v>57</v>
      </c>
      <c r="I43" s="125">
        <v>1</v>
      </c>
      <c r="J43" s="114">
        <f t="shared" si="55"/>
        <v>0.12752802469135799</v>
      </c>
      <c r="K43" s="115">
        <f>'LABOR SHEET'!C$13</f>
        <v>69.099999999999994</v>
      </c>
      <c r="L43" s="116">
        <f t="shared" si="56"/>
        <v>69.099999999999994</v>
      </c>
      <c r="M43" s="116">
        <f t="shared" si="57"/>
        <v>8.8121865061728393</v>
      </c>
      <c r="N43" s="126">
        <v>78</v>
      </c>
      <c r="O43" s="116">
        <f t="shared" si="58"/>
        <v>9.9471859259259308</v>
      </c>
      <c r="P43" s="116">
        <f t="shared" si="59"/>
        <v>147.1</v>
      </c>
      <c r="Q43" s="150">
        <f t="shared" si="60"/>
        <v>18.7593724320988</v>
      </c>
      <c r="R43" s="143"/>
      <c r="S43" s="143"/>
    </row>
    <row r="44" spans="1:19">
      <c r="A44" s="61">
        <f>IF(F44&lt;&gt;"",1+MAX($A$2:A43),"")</f>
        <v>25</v>
      </c>
      <c r="B44" s="75"/>
      <c r="C44" s="80"/>
      <c r="D44" s="85" t="s">
        <v>75</v>
      </c>
      <c r="E44" s="86">
        <f>+E41*0.79*2*0.376</f>
        <v>5.6351788444444502</v>
      </c>
      <c r="F44" s="87">
        <v>0.1</v>
      </c>
      <c r="G44" s="86">
        <f t="shared" ref="G44" si="61">(F44*E44)+E44</f>
        <v>6.1986967288888897</v>
      </c>
      <c r="H44" s="88" t="s">
        <v>59</v>
      </c>
      <c r="I44" s="125">
        <v>1.0999999999999999E-2</v>
      </c>
      <c r="J44" s="114">
        <f t="shared" si="55"/>
        <v>6.81856640177778E-2</v>
      </c>
      <c r="K44" s="115">
        <f>'LABOR SHEET'!C$13</f>
        <v>69.099999999999994</v>
      </c>
      <c r="L44" s="116">
        <f t="shared" si="56"/>
        <v>0.7601</v>
      </c>
      <c r="M44" s="116">
        <f t="shared" si="57"/>
        <v>4.7116293836284404</v>
      </c>
      <c r="N44" s="126">
        <v>1</v>
      </c>
      <c r="O44" s="116">
        <f t="shared" si="58"/>
        <v>6.1986967288888897</v>
      </c>
      <c r="P44" s="116">
        <f t="shared" si="59"/>
        <v>1.7601</v>
      </c>
      <c r="Q44" s="150">
        <f t="shared" si="60"/>
        <v>10.9103261125173</v>
      </c>
      <c r="R44" s="143"/>
      <c r="S44" s="143"/>
    </row>
    <row r="45" spans="1:19" ht="18" customHeight="1">
      <c r="A45" s="61" t="str">
        <f>IF(F45&lt;&gt;"",1+MAX($A$2:A44),"")</f>
        <v/>
      </c>
      <c r="B45" s="75"/>
      <c r="C45" s="52"/>
      <c r="D45" s="89" t="s">
        <v>76</v>
      </c>
      <c r="E45" s="56"/>
      <c r="F45" s="55"/>
      <c r="G45" s="56"/>
      <c r="H45" s="54"/>
      <c r="I45" s="125"/>
      <c r="J45" s="114"/>
      <c r="K45" s="115"/>
      <c r="L45" s="116"/>
      <c r="M45" s="116"/>
      <c r="N45" s="126"/>
      <c r="O45" s="116"/>
      <c r="P45" s="116"/>
      <c r="Q45" s="150"/>
      <c r="R45" s="143"/>
      <c r="S45" s="143"/>
    </row>
    <row r="46" spans="1:19">
      <c r="A46" s="61">
        <f>IF(F46&lt;&gt;"",1+MAX($A$2:A45),"")</f>
        <v>26</v>
      </c>
      <c r="B46" s="75"/>
      <c r="C46" s="80"/>
      <c r="D46" s="47" t="s">
        <v>77</v>
      </c>
      <c r="E46" s="56">
        <f>127.25*0.19/27</f>
        <v>0.89546296296296302</v>
      </c>
      <c r="F46" s="55">
        <v>0.1</v>
      </c>
      <c r="G46" s="56">
        <f t="shared" ref="G46" si="62">(F46*E46)+E46</f>
        <v>0.98500925925925897</v>
      </c>
      <c r="H46" s="54" t="s">
        <v>57</v>
      </c>
      <c r="I46" s="125">
        <v>2.21</v>
      </c>
      <c r="J46" s="114">
        <f t="shared" ref="J46" si="63">+I46*G46</f>
        <v>2.1768704629629601</v>
      </c>
      <c r="K46" s="115">
        <f>'LABOR SHEET'!C$13</f>
        <v>69.099999999999994</v>
      </c>
      <c r="L46" s="116">
        <f t="shared" ref="L46" si="64">I46*K46</f>
        <v>152.71100000000001</v>
      </c>
      <c r="M46" s="116">
        <f t="shared" ref="M46" si="65">K46*J46</f>
        <v>150.42174899074101</v>
      </c>
      <c r="N46" s="126">
        <v>168.2</v>
      </c>
      <c r="O46" s="116">
        <f t="shared" ref="O46" si="66">N46*G46</f>
        <v>165.678557407407</v>
      </c>
      <c r="P46" s="116">
        <f t="shared" ref="P46" si="67">(I46*K46)+N46</f>
        <v>320.911</v>
      </c>
      <c r="Q46" s="150">
        <f t="shared" ref="Q46" si="68">P46*G46</f>
        <v>316.10030639814801</v>
      </c>
      <c r="R46" s="143"/>
      <c r="S46" s="143"/>
    </row>
    <row r="47" spans="1:19">
      <c r="A47" s="61" t="str">
        <f>IF(F47&lt;&gt;"",1+MAX($A$2:A46),"")</f>
        <v/>
      </c>
      <c r="B47" s="75"/>
      <c r="C47" s="80"/>
      <c r="D47" s="90"/>
      <c r="E47" s="60"/>
      <c r="F47" s="59"/>
      <c r="G47" s="60"/>
      <c r="H47" s="58"/>
      <c r="I47" s="117"/>
      <c r="J47" s="130"/>
      <c r="K47" s="130"/>
      <c r="L47" s="120"/>
      <c r="M47" s="120"/>
      <c r="N47" s="120"/>
      <c r="O47" s="120"/>
      <c r="P47" s="120"/>
      <c r="Q47" s="151"/>
      <c r="R47" s="143"/>
      <c r="S47" s="143"/>
    </row>
    <row r="48" spans="1:19" s="26" customFormat="1">
      <c r="A48" s="64" t="str">
        <f>IF(F48&lt;&gt;"",1+MAX($A$2:A47),"")</f>
        <v/>
      </c>
      <c r="B48" s="71"/>
      <c r="C48" s="66"/>
      <c r="D48" s="67" t="s">
        <v>51</v>
      </c>
      <c r="E48" s="68"/>
      <c r="F48" s="68"/>
      <c r="G48" s="68"/>
      <c r="H48" s="68"/>
      <c r="I48" s="68"/>
      <c r="J48" s="131"/>
      <c r="K48" s="131"/>
      <c r="L48" s="132"/>
      <c r="M48" s="133"/>
      <c r="N48" s="132"/>
      <c r="O48" s="121"/>
      <c r="P48" s="121"/>
      <c r="Q48" s="144">
        <f>SUM(Q21:Q46)</f>
        <v>8542.0201905563608</v>
      </c>
      <c r="R48" s="145"/>
    </row>
    <row r="49" spans="1:19">
      <c r="A49" s="91" t="str">
        <f>IF(F49&lt;&gt;"",1+MAX($A$2:A48),"")</f>
        <v/>
      </c>
      <c r="B49" s="92"/>
      <c r="C49" s="92"/>
      <c r="D49" s="92"/>
      <c r="E49" s="93"/>
      <c r="F49" s="94"/>
      <c r="G49" s="93"/>
      <c r="H49" s="95"/>
      <c r="I49" s="134"/>
      <c r="J49" s="93"/>
      <c r="K49" s="135"/>
      <c r="L49" s="135"/>
      <c r="M49" s="135"/>
      <c r="N49" s="135"/>
      <c r="O49" s="135"/>
      <c r="P49" s="135"/>
      <c r="Q49" s="152"/>
      <c r="R49" s="143"/>
      <c r="S49" s="143"/>
    </row>
    <row r="50" spans="1:19" s="28" customFormat="1">
      <c r="A50" s="41" t="str">
        <f>IF(F50&lt;&gt;"",1+MAX($A$2:A49),"")</f>
        <v/>
      </c>
      <c r="B50" s="42"/>
      <c r="C50" s="42">
        <v>4</v>
      </c>
      <c r="D50" s="44" t="s">
        <v>78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147"/>
      <c r="S50" s="148"/>
    </row>
    <row r="51" spans="1:19" ht="18" customHeight="1">
      <c r="A51" s="96" t="str">
        <f>IF(F51&lt;&gt;"",1+MAX($A$2:A50),"")</f>
        <v/>
      </c>
      <c r="B51" s="97"/>
      <c r="C51" s="98"/>
      <c r="D51" s="99" t="s">
        <v>79</v>
      </c>
      <c r="E51" s="100"/>
      <c r="F51" s="101"/>
      <c r="G51" s="50"/>
      <c r="H51" s="50"/>
      <c r="I51" s="136"/>
      <c r="J51" s="50"/>
      <c r="K51" s="137"/>
      <c r="L51" s="137"/>
      <c r="M51" s="137"/>
      <c r="N51" s="137"/>
      <c r="O51" s="137"/>
      <c r="P51" s="137"/>
      <c r="Q51" s="150"/>
      <c r="R51" s="143"/>
      <c r="S51" s="143"/>
    </row>
    <row r="52" spans="1:19" ht="18" customHeight="1">
      <c r="A52" s="61">
        <f>IF(F52&lt;&gt;"",1+MAX($A$2:A51),"")</f>
        <v>27</v>
      </c>
      <c r="B52" s="75"/>
      <c r="C52" s="52"/>
      <c r="D52" s="47" t="s">
        <v>80</v>
      </c>
      <c r="E52" s="93">
        <v>236.41</v>
      </c>
      <c r="F52" s="102">
        <v>0.1</v>
      </c>
      <c r="G52" s="103">
        <f t="shared" ref="G52" si="69">E52*(1+F52)</f>
        <v>260.05099999999999</v>
      </c>
      <c r="H52" s="104" t="s">
        <v>61</v>
      </c>
      <c r="I52" s="125">
        <v>0.185</v>
      </c>
      <c r="J52" s="114">
        <f t="shared" ref="J52" si="70">+I52*G52</f>
        <v>48.109434999999998</v>
      </c>
      <c r="K52" s="115">
        <f>'LABOR SHEET'!C$12</f>
        <v>69.099999999999994</v>
      </c>
      <c r="L52" s="116">
        <f t="shared" ref="L52" si="71">I52*K52</f>
        <v>12.7835</v>
      </c>
      <c r="M52" s="116">
        <f t="shared" ref="M52" si="72">K52*J52</f>
        <v>3324.3619585000001</v>
      </c>
      <c r="N52" s="126">
        <v>22.5</v>
      </c>
      <c r="O52" s="116">
        <f t="shared" ref="O52" si="73">N52*G52</f>
        <v>5851.1475</v>
      </c>
      <c r="P52" s="116">
        <f t="shared" ref="P52" si="74">(I52*K52)+N52</f>
        <v>35.283499999999997</v>
      </c>
      <c r="Q52" s="150">
        <f t="shared" ref="Q52" si="75">P52*G52</f>
        <v>9175.5094585000006</v>
      </c>
      <c r="R52" s="143"/>
      <c r="S52" s="143"/>
    </row>
    <row r="53" spans="1:19" ht="18" customHeight="1">
      <c r="A53" s="61">
        <f>IF(F53&lt;&gt;"",1+MAX($A$2:A52),"")</f>
        <v>28</v>
      </c>
      <c r="B53" s="75"/>
      <c r="C53" s="52"/>
      <c r="D53" s="82" t="s">
        <v>81</v>
      </c>
      <c r="E53" s="56">
        <f>+E52</f>
        <v>236.41</v>
      </c>
      <c r="F53" s="102">
        <v>0.1</v>
      </c>
      <c r="G53" s="103">
        <f t="shared" ref="G53:G54" si="76">E53*(1+F53)</f>
        <v>260.05099999999999</v>
      </c>
      <c r="H53" s="104" t="s">
        <v>61</v>
      </c>
      <c r="I53" s="125">
        <v>7.0000000000000001E-3</v>
      </c>
      <c r="J53" s="114">
        <f t="shared" ref="J53:J55" si="77">+I53*G53</f>
        <v>1.820357</v>
      </c>
      <c r="K53" s="115">
        <f>'LABOR SHEET'!C$12</f>
        <v>69.099999999999994</v>
      </c>
      <c r="L53" s="116">
        <f t="shared" ref="L53:L55" si="78">I53*K53</f>
        <v>0.48370000000000002</v>
      </c>
      <c r="M53" s="116">
        <f t="shared" ref="M53:M55" si="79">K53*J53</f>
        <v>125.78666870000001</v>
      </c>
      <c r="N53" s="126">
        <v>0.96</v>
      </c>
      <c r="O53" s="116">
        <f t="shared" ref="O53:O55" si="80">N53*G53</f>
        <v>249.64895999999999</v>
      </c>
      <c r="P53" s="116">
        <f t="shared" ref="P53:P55" si="81">(I53*K53)+N53</f>
        <v>1.4437</v>
      </c>
      <c r="Q53" s="150">
        <f t="shared" ref="Q53:Q55" si="82">P53*G53</f>
        <v>375.4356287</v>
      </c>
      <c r="R53" s="143"/>
      <c r="S53" s="143"/>
    </row>
    <row r="54" spans="1:19" ht="18" customHeight="1">
      <c r="A54" s="61">
        <f>IF(F54&lt;&gt;"",1+MAX($A$2:A53),"")</f>
        <v>29</v>
      </c>
      <c r="B54" s="75"/>
      <c r="C54" s="105"/>
      <c r="D54" s="82" t="s">
        <v>82</v>
      </c>
      <c r="E54" s="56">
        <f>+E53</f>
        <v>236.41</v>
      </c>
      <c r="F54" s="102">
        <v>0.1</v>
      </c>
      <c r="G54" s="103">
        <f t="shared" si="76"/>
        <v>260.05099999999999</v>
      </c>
      <c r="H54" s="104" t="s">
        <v>61</v>
      </c>
      <c r="I54" s="125">
        <v>8.0000000000000002E-3</v>
      </c>
      <c r="J54" s="114">
        <f t="shared" si="77"/>
        <v>2.0804079999999998</v>
      </c>
      <c r="K54" s="115">
        <f>'LABOR SHEET'!C$12</f>
        <v>69.099999999999994</v>
      </c>
      <c r="L54" s="116">
        <f t="shared" si="78"/>
        <v>0.55279999999999996</v>
      </c>
      <c r="M54" s="116">
        <f t="shared" si="79"/>
        <v>143.75619280000001</v>
      </c>
      <c r="N54" s="126">
        <v>1.1499999999999999</v>
      </c>
      <c r="O54" s="116">
        <f t="shared" si="80"/>
        <v>299.05865</v>
      </c>
      <c r="P54" s="116">
        <f t="shared" si="81"/>
        <v>1.7028000000000001</v>
      </c>
      <c r="Q54" s="150">
        <f t="shared" si="82"/>
        <v>442.81484280000001</v>
      </c>
      <c r="R54" s="143"/>
      <c r="S54" s="143"/>
    </row>
    <row r="55" spans="1:19" ht="18" customHeight="1">
      <c r="A55" s="61">
        <f>IF(F55&lt;&gt;"",1+MAX($A$2:A54),"")</f>
        <v>30</v>
      </c>
      <c r="B55" s="75"/>
      <c r="C55" s="105"/>
      <c r="D55" s="82" t="s">
        <v>83</v>
      </c>
      <c r="E55" s="56">
        <f>+E54</f>
        <v>236.41</v>
      </c>
      <c r="F55" s="102">
        <v>0.1</v>
      </c>
      <c r="G55" s="103">
        <f t="shared" ref="G55" si="83">E55*(1+F55)</f>
        <v>260.05099999999999</v>
      </c>
      <c r="H55" s="104" t="s">
        <v>61</v>
      </c>
      <c r="I55" s="125">
        <v>6.0000000000000001E-3</v>
      </c>
      <c r="J55" s="114">
        <f t="shared" si="77"/>
        <v>1.560306</v>
      </c>
      <c r="K55" s="115">
        <f>'LABOR SHEET'!C$12</f>
        <v>69.099999999999994</v>
      </c>
      <c r="L55" s="116">
        <f t="shared" si="78"/>
        <v>0.41460000000000002</v>
      </c>
      <c r="M55" s="116">
        <f t="shared" si="79"/>
        <v>107.81714460000001</v>
      </c>
      <c r="N55" s="126">
        <v>0.32</v>
      </c>
      <c r="O55" s="116">
        <f t="shared" si="80"/>
        <v>83.216319999999996</v>
      </c>
      <c r="P55" s="116">
        <f t="shared" si="81"/>
        <v>0.73460000000000003</v>
      </c>
      <c r="Q55" s="150">
        <f t="shared" si="82"/>
        <v>191.0334646</v>
      </c>
      <c r="R55" s="143"/>
      <c r="S55" s="143"/>
    </row>
    <row r="56" spans="1:19" ht="18" customHeight="1">
      <c r="A56" s="61" t="str">
        <f>IF(F56&lt;&gt;"",1+MAX($A$2:A55),"")</f>
        <v/>
      </c>
      <c r="B56" s="75"/>
      <c r="C56" s="105"/>
      <c r="D56" s="106"/>
      <c r="E56" s="56"/>
      <c r="F56" s="55"/>
      <c r="G56" s="56"/>
      <c r="H56" s="54"/>
      <c r="I56" s="113"/>
      <c r="J56" s="114"/>
      <c r="K56" s="115"/>
      <c r="L56" s="116"/>
      <c r="M56" s="116"/>
      <c r="N56" s="116"/>
      <c r="O56" s="116"/>
      <c r="P56" s="116"/>
      <c r="Q56" s="149"/>
      <c r="R56" s="143"/>
      <c r="S56" s="143"/>
    </row>
    <row r="57" spans="1:19" s="26" customFormat="1">
      <c r="A57" s="107" t="str">
        <f>IF(F57&lt;&gt;"",1+MAX($A$2:A56),"")</f>
        <v/>
      </c>
      <c r="B57" s="71"/>
      <c r="C57" s="66"/>
      <c r="D57" s="67" t="s">
        <v>51</v>
      </c>
      <c r="E57" s="68"/>
      <c r="F57" s="68"/>
      <c r="G57" s="68"/>
      <c r="H57" s="68"/>
      <c r="I57" s="68"/>
      <c r="J57" s="131"/>
      <c r="K57" s="131"/>
      <c r="L57" s="132"/>
      <c r="M57" s="133"/>
      <c r="N57" s="132"/>
      <c r="O57" s="121"/>
      <c r="P57" s="121"/>
      <c r="Q57" s="144">
        <f>SUM(Q52:Q55)</f>
        <v>10184.793394599999</v>
      </c>
      <c r="R57" s="145"/>
    </row>
    <row r="58" spans="1:19" s="26" customFormat="1">
      <c r="A58" s="108" t="str">
        <f>IF(F58&lt;&gt;"",1+MAX($A$2:A57),"")</f>
        <v/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153"/>
      <c r="R58" s="145"/>
    </row>
    <row r="59" spans="1:19" s="28" customFormat="1">
      <c r="A59" s="41" t="str">
        <f>IF(F59&lt;&gt;"",1+MAX($A$2:A58),"")</f>
        <v/>
      </c>
      <c r="B59" s="42"/>
      <c r="C59" s="43">
        <v>6</v>
      </c>
      <c r="D59" s="109" t="s">
        <v>84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54"/>
      <c r="S59" s="148"/>
    </row>
    <row r="60" spans="1:19" ht="18" customHeight="1">
      <c r="A60" s="107" t="str">
        <f>IF(F60&lt;&gt;"",1+MAX($A$2:A59),"")</f>
        <v/>
      </c>
      <c r="B60" s="71"/>
      <c r="C60" s="66"/>
      <c r="D60" s="111" t="s">
        <v>85</v>
      </c>
      <c r="E60" s="73"/>
      <c r="F60" s="74"/>
      <c r="G60" s="56"/>
      <c r="H60" s="56"/>
      <c r="I60" s="122"/>
      <c r="J60" s="56"/>
      <c r="K60" s="123"/>
      <c r="L60" s="123"/>
      <c r="M60" s="123"/>
      <c r="N60" s="123"/>
      <c r="O60" s="123"/>
      <c r="P60" s="123"/>
      <c r="Q60" s="149"/>
      <c r="R60" s="143"/>
      <c r="S60" s="143"/>
    </row>
    <row r="61" spans="1:19" ht="18" customHeight="1">
      <c r="A61" s="61">
        <f>IF(F61&lt;&gt;"",1+MAX($A$2:A60),"")</f>
        <v>31</v>
      </c>
      <c r="B61" s="75"/>
      <c r="C61" s="52"/>
      <c r="D61" s="112" t="s">
        <v>86</v>
      </c>
      <c r="E61" s="56">
        <v>127.14</v>
      </c>
      <c r="F61" s="102">
        <v>0.05</v>
      </c>
      <c r="G61" s="103">
        <f t="shared" ref="G61" si="84">E61*(1+F61)</f>
        <v>133.49700000000001</v>
      </c>
      <c r="H61" s="104" t="s">
        <v>64</v>
      </c>
      <c r="I61" s="125">
        <v>1.7999999999999999E-2</v>
      </c>
      <c r="J61" s="114">
        <f t="shared" ref="J61" si="85">+I61*G61</f>
        <v>2.402946</v>
      </c>
      <c r="K61" s="115">
        <f>'LABOR SHEET'!C$3</f>
        <v>79.3</v>
      </c>
      <c r="L61" s="116">
        <f t="shared" ref="L61" si="86">I61*K61</f>
        <v>1.4274</v>
      </c>
      <c r="M61" s="116">
        <f t="shared" ref="M61" si="87">K61*J61</f>
        <v>190.55361780000001</v>
      </c>
      <c r="N61" s="126">
        <v>1.4</v>
      </c>
      <c r="O61" s="116">
        <f t="shared" ref="O61" si="88">N61*G61</f>
        <v>186.89580000000001</v>
      </c>
      <c r="P61" s="116">
        <f t="shared" ref="P61" si="89">(I61*K61)+N61</f>
        <v>2.8273999999999999</v>
      </c>
      <c r="Q61" s="150">
        <f t="shared" ref="Q61" si="90">P61*G61</f>
        <v>377.44941779999999</v>
      </c>
      <c r="R61" s="143"/>
      <c r="S61" s="143"/>
    </row>
    <row r="62" spans="1:19" ht="15.65" customHeight="1">
      <c r="A62" s="61">
        <f>IF(F62&lt;&gt;"",1+MAX($A$2:A61),"")</f>
        <v>32</v>
      </c>
      <c r="B62" s="75"/>
      <c r="C62" s="52"/>
      <c r="D62" s="47" t="s">
        <v>87</v>
      </c>
      <c r="E62" s="56">
        <v>109.85</v>
      </c>
      <c r="F62" s="102">
        <v>0.05</v>
      </c>
      <c r="G62" s="103">
        <f t="shared" ref="G62" si="91">E62*(1+F62)</f>
        <v>115.3425</v>
      </c>
      <c r="H62" s="104" t="s">
        <v>64</v>
      </c>
      <c r="I62" s="125">
        <v>1.7999999999999999E-2</v>
      </c>
      <c r="J62" s="114">
        <f t="shared" ref="J62" si="92">+I62*G62</f>
        <v>2.076165</v>
      </c>
      <c r="K62" s="115">
        <f>'LABOR SHEET'!C$3</f>
        <v>79.3</v>
      </c>
      <c r="L62" s="116">
        <f t="shared" ref="L62" si="93">I62*K62</f>
        <v>1.4274</v>
      </c>
      <c r="M62" s="116">
        <f t="shared" ref="M62" si="94">K62*J62</f>
        <v>164.63988449999999</v>
      </c>
      <c r="N62" s="126">
        <v>1.4</v>
      </c>
      <c r="O62" s="116">
        <f t="shared" ref="O62" si="95">N62*G62</f>
        <v>161.4795</v>
      </c>
      <c r="P62" s="116">
        <f t="shared" ref="P62" si="96">(I62*K62)+N62</f>
        <v>2.8273999999999999</v>
      </c>
      <c r="Q62" s="150">
        <f t="shared" ref="Q62" si="97">P62*G62</f>
        <v>326.11938450000002</v>
      </c>
      <c r="R62" s="143"/>
      <c r="S62" s="143"/>
    </row>
    <row r="63" spans="1:19" ht="18" customHeight="1">
      <c r="A63" s="61" t="str">
        <f>IF(F63&lt;&gt;"",1+MAX($A$2:A62),"")</f>
        <v/>
      </c>
      <c r="B63" s="75"/>
      <c r="C63" s="52"/>
      <c r="D63" s="112"/>
      <c r="E63" s="56"/>
      <c r="F63" s="102"/>
      <c r="G63" s="103"/>
      <c r="H63" s="104"/>
      <c r="I63" s="128"/>
      <c r="J63" s="124"/>
      <c r="K63" s="124"/>
      <c r="L63" s="124"/>
      <c r="M63" s="124"/>
      <c r="N63" s="128"/>
      <c r="O63" s="124"/>
      <c r="P63" s="124"/>
      <c r="Q63" s="149"/>
      <c r="R63" s="143"/>
      <c r="S63" s="143"/>
    </row>
    <row r="64" spans="1:19">
      <c r="A64" s="61" t="str">
        <f>IF(F64&lt;&gt;"",1+MAX($A$2:A63),"")</f>
        <v/>
      </c>
      <c r="B64" s="75"/>
      <c r="C64" s="80"/>
      <c r="D64" s="111" t="s">
        <v>88</v>
      </c>
      <c r="E64" s="56"/>
      <c r="F64" s="102"/>
      <c r="G64" s="103"/>
      <c r="H64" s="104"/>
      <c r="I64" s="125"/>
      <c r="J64" s="114"/>
      <c r="K64" s="115"/>
      <c r="L64" s="116"/>
      <c r="M64" s="116"/>
      <c r="N64" s="126"/>
      <c r="O64" s="116"/>
      <c r="P64" s="116"/>
      <c r="Q64" s="149"/>
      <c r="R64" s="143"/>
      <c r="S64" s="143"/>
    </row>
    <row r="65" spans="1:19">
      <c r="A65" s="61">
        <f>IF(F65&lt;&gt;"",1+MAX($A$2:A64),"")</f>
        <v>33</v>
      </c>
      <c r="B65" s="75"/>
      <c r="C65" s="80"/>
      <c r="D65" s="112" t="s">
        <v>89</v>
      </c>
      <c r="E65" s="56">
        <v>13</v>
      </c>
      <c r="F65" s="102">
        <v>0</v>
      </c>
      <c r="G65" s="103">
        <f t="shared" ref="G65:G66" si="98">E65*(1+F65)</f>
        <v>13</v>
      </c>
      <c r="H65" s="104" t="s">
        <v>55</v>
      </c>
      <c r="I65" s="125">
        <f>0.018*2*9</f>
        <v>0.32400000000000001</v>
      </c>
      <c r="J65" s="114">
        <f t="shared" ref="J65:J66" si="99">+I65*G65</f>
        <v>4.2119999999999997</v>
      </c>
      <c r="K65" s="115">
        <f>'LABOR SHEET'!C$3</f>
        <v>79.3</v>
      </c>
      <c r="L65" s="116">
        <f t="shared" ref="L65:L66" si="100">I65*K65</f>
        <v>25.693200000000001</v>
      </c>
      <c r="M65" s="116">
        <f t="shared" ref="M65:M66" si="101">K65*J65</f>
        <v>334.01159999999999</v>
      </c>
      <c r="N65" s="126">
        <f>1.4*9*2</f>
        <v>25.2</v>
      </c>
      <c r="O65" s="116">
        <f t="shared" ref="O65:O66" si="102">N65*G65</f>
        <v>327.60000000000002</v>
      </c>
      <c r="P65" s="116">
        <f t="shared" ref="P65:P66" si="103">(I65*K65)+N65</f>
        <v>50.8932</v>
      </c>
      <c r="Q65" s="150">
        <f t="shared" ref="Q65:Q66" si="104">P65*G65</f>
        <v>661.61159999999995</v>
      </c>
      <c r="R65" s="143"/>
      <c r="S65" s="143"/>
    </row>
    <row r="66" spans="1:19">
      <c r="A66" s="61">
        <f>IF(F66&lt;&gt;"",1+MAX($A$2:A65),"")</f>
        <v>34</v>
      </c>
      <c r="B66" s="75"/>
      <c r="C66" s="80"/>
      <c r="D66" s="112" t="s">
        <v>90</v>
      </c>
      <c r="E66" s="56">
        <v>2</v>
      </c>
      <c r="F66" s="102">
        <v>0</v>
      </c>
      <c r="G66" s="103">
        <f t="shared" si="98"/>
        <v>2</v>
      </c>
      <c r="H66" s="104" t="s">
        <v>55</v>
      </c>
      <c r="I66" s="125">
        <f>0.018*3*9</f>
        <v>0.48599999999999999</v>
      </c>
      <c r="J66" s="114">
        <f t="shared" si="99"/>
        <v>0.97199999999999998</v>
      </c>
      <c r="K66" s="115">
        <f>'LABOR SHEET'!C$3</f>
        <v>79.3</v>
      </c>
      <c r="L66" s="116">
        <f t="shared" si="100"/>
        <v>38.5398</v>
      </c>
      <c r="M66" s="116">
        <f t="shared" si="101"/>
        <v>77.079599999999999</v>
      </c>
      <c r="N66" s="126">
        <f>1.4*9*3</f>
        <v>37.799999999999997</v>
      </c>
      <c r="O66" s="116">
        <f t="shared" si="102"/>
        <v>75.599999999999994</v>
      </c>
      <c r="P66" s="116">
        <f t="shared" si="103"/>
        <v>76.339799999999997</v>
      </c>
      <c r="Q66" s="150">
        <f t="shared" si="104"/>
        <v>152.67959999999999</v>
      </c>
      <c r="R66" s="143"/>
      <c r="S66" s="143"/>
    </row>
    <row r="67" spans="1:19">
      <c r="A67" s="61" t="str">
        <f>IF(F67&lt;&gt;"",1+MAX($A$2:A66),"")</f>
        <v/>
      </c>
      <c r="B67" s="75"/>
      <c r="C67" s="80"/>
      <c r="D67" s="112"/>
      <c r="E67" s="56"/>
      <c r="F67" s="102"/>
      <c r="G67" s="103"/>
      <c r="H67" s="104"/>
      <c r="I67" s="125"/>
      <c r="J67" s="114"/>
      <c r="K67" s="115"/>
      <c r="L67" s="116"/>
      <c r="M67" s="116"/>
      <c r="N67" s="126"/>
      <c r="O67" s="116"/>
      <c r="P67" s="116"/>
      <c r="Q67" s="149"/>
      <c r="R67" s="143"/>
      <c r="S67" s="143"/>
    </row>
    <row r="68" spans="1:19" ht="18" customHeight="1">
      <c r="A68" s="61" t="str">
        <f>IF(F68&lt;&gt;"",1+MAX($A$2:A67),"")</f>
        <v/>
      </c>
      <c r="B68" s="75"/>
      <c r="C68" s="52"/>
      <c r="D68" s="111" t="s">
        <v>91</v>
      </c>
      <c r="E68" s="56"/>
      <c r="F68" s="102"/>
      <c r="G68" s="103"/>
      <c r="H68" s="104"/>
      <c r="I68" s="128"/>
      <c r="J68" s="124"/>
      <c r="K68" s="124"/>
      <c r="L68" s="124"/>
      <c r="M68" s="124"/>
      <c r="N68" s="128"/>
      <c r="O68" s="124"/>
      <c r="P68" s="124"/>
      <c r="Q68" s="149"/>
      <c r="R68" s="143"/>
      <c r="S68" s="143"/>
    </row>
    <row r="69" spans="1:19">
      <c r="A69" s="61">
        <f>IF(F69&lt;&gt;"",1+MAX($A$2:A68),"")</f>
        <v>35</v>
      </c>
      <c r="B69" s="75"/>
      <c r="C69" s="80"/>
      <c r="D69" s="112" t="s">
        <v>92</v>
      </c>
      <c r="E69" s="56">
        <v>10.5</v>
      </c>
      <c r="F69" s="102">
        <v>0.05</v>
      </c>
      <c r="G69" s="103">
        <f t="shared" ref="G69" si="105">E69*(1+F69)</f>
        <v>11.025</v>
      </c>
      <c r="H69" s="104" t="s">
        <v>64</v>
      </c>
      <c r="I69" s="125">
        <v>6.5000000000000002E-2</v>
      </c>
      <c r="J69" s="114">
        <f t="shared" ref="J69:J71" si="106">+I69*G69</f>
        <v>0.71662499999999996</v>
      </c>
      <c r="K69" s="115">
        <f>'LABOR SHEET'!C$3</f>
        <v>79.3</v>
      </c>
      <c r="L69" s="116">
        <f t="shared" ref="L69:L71" si="107">I69*K69</f>
        <v>5.1544999999999996</v>
      </c>
      <c r="M69" s="116">
        <f t="shared" ref="M69:M71" si="108">K69*J69</f>
        <v>56.828362499999997</v>
      </c>
      <c r="N69" s="126">
        <f>19.1/12*8</f>
        <v>12.733333333333301</v>
      </c>
      <c r="O69" s="116">
        <f t="shared" ref="O69:O71" si="109">N69*G69</f>
        <v>140.38499999999999</v>
      </c>
      <c r="P69" s="116">
        <f t="shared" ref="P69:P71" si="110">(I69*K69)+N69</f>
        <v>17.887833333333301</v>
      </c>
      <c r="Q69" s="150">
        <f t="shared" ref="Q69:Q71" si="111">P69*G69</f>
        <v>197.21336249999999</v>
      </c>
      <c r="R69" s="143"/>
      <c r="S69" s="143"/>
    </row>
    <row r="70" spans="1:19">
      <c r="A70" s="61">
        <f>IF(F70&lt;&gt;"",1+MAX($A$2:A69),"")</f>
        <v>36</v>
      </c>
      <c r="B70" s="75"/>
      <c r="C70" s="80"/>
      <c r="D70" s="112" t="s">
        <v>93</v>
      </c>
      <c r="E70" s="56">
        <v>33.04</v>
      </c>
      <c r="F70" s="102">
        <v>0.05</v>
      </c>
      <c r="G70" s="103">
        <f t="shared" ref="G70:G71" si="112">E70*(1+F70)</f>
        <v>34.692</v>
      </c>
      <c r="H70" s="104" t="s">
        <v>64</v>
      </c>
      <c r="I70" s="125">
        <v>0.09</v>
      </c>
      <c r="J70" s="114">
        <f t="shared" si="106"/>
        <v>3.1222799999999999</v>
      </c>
      <c r="K70" s="115">
        <f>'LABOR SHEET'!C$3</f>
        <v>79.3</v>
      </c>
      <c r="L70" s="116">
        <f t="shared" si="107"/>
        <v>7.1369999999999996</v>
      </c>
      <c r="M70" s="116">
        <f t="shared" si="108"/>
        <v>247.59680399999999</v>
      </c>
      <c r="N70" s="126">
        <v>19.100000000000001</v>
      </c>
      <c r="O70" s="116">
        <f t="shared" si="109"/>
        <v>662.61720000000003</v>
      </c>
      <c r="P70" s="116">
        <f t="shared" si="110"/>
        <v>26.236999999999998</v>
      </c>
      <c r="Q70" s="150">
        <f t="shared" si="111"/>
        <v>910.21400400000005</v>
      </c>
      <c r="R70" s="143"/>
      <c r="S70" s="143"/>
    </row>
    <row r="71" spans="1:19" ht="18" customHeight="1">
      <c r="A71" s="61">
        <f>IF(F71&lt;&gt;"",1+MAX($A$2:A70),"")</f>
        <v>37</v>
      </c>
      <c r="B71" s="75"/>
      <c r="C71" s="52"/>
      <c r="D71" s="112" t="s">
        <v>94</v>
      </c>
      <c r="E71" s="56">
        <v>27.44</v>
      </c>
      <c r="F71" s="102">
        <v>0.05</v>
      </c>
      <c r="G71" s="103">
        <f t="shared" si="112"/>
        <v>28.812000000000001</v>
      </c>
      <c r="H71" s="104" t="s">
        <v>64</v>
      </c>
      <c r="I71" s="125">
        <v>4.8000000000000001E-2</v>
      </c>
      <c r="J71" s="114">
        <f t="shared" si="106"/>
        <v>1.382976</v>
      </c>
      <c r="K71" s="115">
        <f>'LABOR SHEET'!C$3</f>
        <v>79.3</v>
      </c>
      <c r="L71" s="116">
        <f t="shared" si="107"/>
        <v>3.8064</v>
      </c>
      <c r="M71" s="116">
        <f t="shared" si="108"/>
        <v>109.66999680000001</v>
      </c>
      <c r="N71" s="126">
        <v>8.9</v>
      </c>
      <c r="O71" s="116">
        <f t="shared" si="109"/>
        <v>256.42680000000001</v>
      </c>
      <c r="P71" s="116">
        <f t="shared" si="110"/>
        <v>12.7064</v>
      </c>
      <c r="Q71" s="150">
        <f t="shared" si="111"/>
        <v>366.09679679999999</v>
      </c>
      <c r="R71" s="143"/>
      <c r="S71" s="143"/>
    </row>
    <row r="72" spans="1:19" ht="18" customHeight="1">
      <c r="A72" s="61" t="str">
        <f>IF(F72&lt;&gt;"",1+MAX($A$2:A71),"")</f>
        <v/>
      </c>
      <c r="B72" s="71"/>
      <c r="C72" s="66"/>
      <c r="D72" s="112"/>
      <c r="E72" s="73"/>
      <c r="F72" s="102"/>
      <c r="G72" s="103"/>
      <c r="H72" s="104"/>
      <c r="I72" s="125"/>
      <c r="J72" s="114"/>
      <c r="K72" s="115"/>
      <c r="L72" s="116"/>
      <c r="M72" s="116"/>
      <c r="N72" s="126"/>
      <c r="O72" s="116"/>
      <c r="P72" s="116"/>
      <c r="Q72" s="149"/>
      <c r="R72" s="143"/>
      <c r="S72" s="143"/>
    </row>
    <row r="73" spans="1:19" ht="18" customHeight="1">
      <c r="A73" s="61" t="str">
        <f>IF(F73&lt;&gt;"",1+MAX($A$2:A72),"")</f>
        <v/>
      </c>
      <c r="B73" s="75"/>
      <c r="C73" s="52"/>
      <c r="D73" s="111" t="s">
        <v>95</v>
      </c>
      <c r="E73" s="56"/>
      <c r="F73" s="102"/>
      <c r="G73" s="103"/>
      <c r="H73" s="104"/>
      <c r="I73" s="127"/>
      <c r="J73" s="56"/>
      <c r="K73" s="124"/>
      <c r="L73" s="124"/>
      <c r="M73" s="124"/>
      <c r="N73" s="128"/>
      <c r="O73" s="124"/>
      <c r="P73" s="124"/>
      <c r="Q73" s="149"/>
      <c r="R73" s="143"/>
      <c r="S73" s="143"/>
    </row>
    <row r="74" spans="1:19">
      <c r="A74" s="61">
        <f>IF(F74&lt;&gt;"",1+MAX($A$2:A73),"")</f>
        <v>38</v>
      </c>
      <c r="B74" s="75"/>
      <c r="C74" s="80"/>
      <c r="D74" s="112" t="s">
        <v>96</v>
      </c>
      <c r="E74" s="56">
        <v>1137.46</v>
      </c>
      <c r="F74" s="102">
        <v>0.1</v>
      </c>
      <c r="G74" s="103">
        <f>E74*(1+F74)</f>
        <v>1251.2059999999999</v>
      </c>
      <c r="H74" s="104" t="s">
        <v>61</v>
      </c>
      <c r="I74" s="125">
        <v>1.6E-2</v>
      </c>
      <c r="J74" s="114">
        <f t="shared" ref="J74:J79" si="113">+I74*G74</f>
        <v>20.019296000000001</v>
      </c>
      <c r="K74" s="115">
        <f>'LABOR SHEET'!C$3</f>
        <v>79.3</v>
      </c>
      <c r="L74" s="116">
        <f t="shared" ref="L74:L79" si="114">I74*K74</f>
        <v>1.2687999999999999</v>
      </c>
      <c r="M74" s="116">
        <f t="shared" ref="M74:M79" si="115">K74*J74</f>
        <v>1587.5301727999999</v>
      </c>
      <c r="N74" s="126">
        <f>26.09/32</f>
        <v>0.8153125</v>
      </c>
      <c r="O74" s="116">
        <f t="shared" ref="O74:O79" si="116">N74*G74</f>
        <v>1020.123891875</v>
      </c>
      <c r="P74" s="116">
        <f t="shared" ref="P74:P79" si="117">(I74*K74)+N74</f>
        <v>2.0841124999999998</v>
      </c>
      <c r="Q74" s="150">
        <f t="shared" ref="Q74:Q79" si="118">P74*G74</f>
        <v>2607.654064675</v>
      </c>
      <c r="R74" s="143"/>
      <c r="S74" s="143"/>
    </row>
    <row r="75" spans="1:19">
      <c r="A75" s="61">
        <f>IF(F75&lt;&gt;"",1+MAX($A$2:A74),"")</f>
        <v>39</v>
      </c>
      <c r="B75" s="75"/>
      <c r="C75" s="80"/>
      <c r="D75" s="155" t="s">
        <v>97</v>
      </c>
      <c r="E75" s="56">
        <f>+ROUNDUP(E74/32,0)</f>
        <v>36</v>
      </c>
      <c r="F75" s="102">
        <v>0</v>
      </c>
      <c r="G75" s="103">
        <f>E75*(1+F75)</f>
        <v>36</v>
      </c>
      <c r="H75" s="104" t="s">
        <v>55</v>
      </c>
      <c r="I75" s="125"/>
      <c r="J75" s="114"/>
      <c r="K75" s="115"/>
      <c r="L75" s="116"/>
      <c r="M75" s="116"/>
      <c r="N75" s="126"/>
      <c r="O75" s="116"/>
      <c r="P75" s="116"/>
      <c r="Q75" s="150"/>
      <c r="R75" s="143"/>
      <c r="S75" s="143"/>
    </row>
    <row r="76" spans="1:19">
      <c r="A76" s="61">
        <f>IF(F76&lt;&gt;"",1+MAX($A$2:A75),"")</f>
        <v>40</v>
      </c>
      <c r="B76" s="75"/>
      <c r="C76" s="80"/>
      <c r="D76" s="156" t="s">
        <v>98</v>
      </c>
      <c r="E76" s="56">
        <f>+E75*70</f>
        <v>2520</v>
      </c>
      <c r="F76" s="102">
        <v>0</v>
      </c>
      <c r="G76" s="103">
        <f t="shared" ref="G76" si="119">E76*(1+F76)</f>
        <v>2520</v>
      </c>
      <c r="H76" s="104" t="s">
        <v>55</v>
      </c>
      <c r="I76" s="125">
        <v>3.0000000000000001E-3</v>
      </c>
      <c r="J76" s="114">
        <f t="shared" si="113"/>
        <v>7.56</v>
      </c>
      <c r="K76" s="115">
        <f>'LABOR SHEET'!C$3</f>
        <v>79.3</v>
      </c>
      <c r="L76" s="116">
        <f t="shared" si="114"/>
        <v>0.2379</v>
      </c>
      <c r="M76" s="116">
        <f t="shared" si="115"/>
        <v>599.50800000000004</v>
      </c>
      <c r="N76" s="126">
        <v>0.2</v>
      </c>
      <c r="O76" s="116">
        <f t="shared" si="116"/>
        <v>504</v>
      </c>
      <c r="P76" s="116">
        <f t="shared" si="117"/>
        <v>0.43790000000000001</v>
      </c>
      <c r="Q76" s="150">
        <f t="shared" si="118"/>
        <v>1103.508</v>
      </c>
      <c r="R76" s="143"/>
      <c r="S76" s="143"/>
    </row>
    <row r="77" spans="1:19">
      <c r="A77" s="61">
        <f>IF(F77&lt;&gt;"",1+MAX($A$2:A76),"")</f>
        <v>41</v>
      </c>
      <c r="B77" s="75"/>
      <c r="C77" s="80"/>
      <c r="D77" s="112" t="s">
        <v>99</v>
      </c>
      <c r="E77" s="56">
        <f>51.33*9</f>
        <v>461.97</v>
      </c>
      <c r="F77" s="102">
        <v>0.1</v>
      </c>
      <c r="G77" s="103">
        <f t="shared" ref="G77:G79" si="120">E77*(1+F77)</f>
        <v>508.16699999999997</v>
      </c>
      <c r="H77" s="104" t="s">
        <v>61</v>
      </c>
      <c r="I77" s="125">
        <v>1.7000000000000001E-2</v>
      </c>
      <c r="J77" s="114">
        <f t="shared" si="113"/>
        <v>8.6388390000000008</v>
      </c>
      <c r="K77" s="115">
        <f>'LABOR SHEET'!C$3</f>
        <v>79.3</v>
      </c>
      <c r="L77" s="116">
        <f t="shared" si="114"/>
        <v>1.3481000000000001</v>
      </c>
      <c r="M77" s="116">
        <f t="shared" si="115"/>
        <v>685.05993269999999</v>
      </c>
      <c r="N77" s="126">
        <f>21.4/32</f>
        <v>0.66874999999999996</v>
      </c>
      <c r="O77" s="116">
        <f t="shared" si="116"/>
        <v>339.83668125000003</v>
      </c>
      <c r="P77" s="116">
        <f t="shared" si="117"/>
        <v>2.0168499999999998</v>
      </c>
      <c r="Q77" s="150">
        <f t="shared" si="118"/>
        <v>1024.8966139500001</v>
      </c>
      <c r="R77" s="143"/>
      <c r="S77" s="143"/>
    </row>
    <row r="78" spans="1:19">
      <c r="A78" s="61">
        <f>IF(F78&lt;&gt;"",1+MAX($A$2:A77),"")</f>
        <v>42</v>
      </c>
      <c r="B78" s="75"/>
      <c r="C78" s="80"/>
      <c r="D78" s="155" t="s">
        <v>97</v>
      </c>
      <c r="E78" s="56">
        <f>+ROUNDUP(E77/32,0)</f>
        <v>15</v>
      </c>
      <c r="F78" s="102">
        <v>0</v>
      </c>
      <c r="G78" s="103">
        <f t="shared" si="120"/>
        <v>15</v>
      </c>
      <c r="H78" s="104" t="s">
        <v>55</v>
      </c>
      <c r="I78" s="125"/>
      <c r="J78" s="114"/>
      <c r="K78" s="115"/>
      <c r="L78" s="116"/>
      <c r="M78" s="116"/>
      <c r="N78" s="126"/>
      <c r="O78" s="116"/>
      <c r="P78" s="116"/>
      <c r="Q78" s="150"/>
      <c r="R78" s="143"/>
      <c r="S78" s="143"/>
    </row>
    <row r="79" spans="1:19">
      <c r="A79" s="61">
        <f>IF(F79&lt;&gt;"",1+MAX($A$2:A78),"")</f>
        <v>43</v>
      </c>
      <c r="B79" s="75"/>
      <c r="C79" s="80"/>
      <c r="D79" s="156" t="s">
        <v>98</v>
      </c>
      <c r="E79" s="56">
        <f>+E78*70</f>
        <v>1050</v>
      </c>
      <c r="F79" s="102">
        <v>0</v>
      </c>
      <c r="G79" s="103">
        <f t="shared" si="120"/>
        <v>1050</v>
      </c>
      <c r="H79" s="104" t="s">
        <v>55</v>
      </c>
      <c r="I79" s="125">
        <v>3.0000000000000001E-3</v>
      </c>
      <c r="J79" s="114">
        <f t="shared" si="113"/>
        <v>3.15</v>
      </c>
      <c r="K79" s="115">
        <f>'LABOR SHEET'!C$3</f>
        <v>79.3</v>
      </c>
      <c r="L79" s="116">
        <f t="shared" si="114"/>
        <v>0.2379</v>
      </c>
      <c r="M79" s="116">
        <f t="shared" si="115"/>
        <v>249.79499999999999</v>
      </c>
      <c r="N79" s="126">
        <v>0.2</v>
      </c>
      <c r="O79" s="116">
        <f t="shared" si="116"/>
        <v>210</v>
      </c>
      <c r="P79" s="116">
        <f t="shared" si="117"/>
        <v>0.43790000000000001</v>
      </c>
      <c r="Q79" s="150">
        <f t="shared" si="118"/>
        <v>459.79500000000002</v>
      </c>
      <c r="R79" s="143"/>
      <c r="S79" s="143"/>
    </row>
    <row r="80" spans="1:19">
      <c r="A80" s="61" t="str">
        <f>IF(F80&lt;&gt;"",1+MAX($A$2:A79),"")</f>
        <v/>
      </c>
      <c r="B80" s="75"/>
      <c r="C80" s="80"/>
      <c r="D80" s="156"/>
      <c r="E80" s="56"/>
      <c r="F80" s="102"/>
      <c r="G80" s="103"/>
      <c r="H80" s="104"/>
      <c r="I80" s="125"/>
      <c r="J80" s="114"/>
      <c r="K80" s="115"/>
      <c r="L80" s="116"/>
      <c r="M80" s="116"/>
      <c r="N80" s="126"/>
      <c r="O80" s="116"/>
      <c r="P80" s="116"/>
      <c r="Q80" s="149"/>
      <c r="R80" s="143"/>
      <c r="S80" s="143"/>
    </row>
    <row r="81" spans="1:19">
      <c r="A81" s="61" t="str">
        <f>IF(F81&lt;&gt;"",1+MAX($A$2:A80),"")</f>
        <v/>
      </c>
      <c r="B81" s="75"/>
      <c r="C81" s="80"/>
      <c r="D81" s="111" t="s">
        <v>100</v>
      </c>
      <c r="E81" s="56"/>
      <c r="F81" s="102"/>
      <c r="G81" s="103"/>
      <c r="H81" s="157"/>
      <c r="I81" s="125"/>
      <c r="J81" s="114"/>
      <c r="K81" s="115"/>
      <c r="L81" s="116"/>
      <c r="M81" s="116"/>
      <c r="N81" s="126"/>
      <c r="O81" s="116"/>
      <c r="P81" s="116"/>
      <c r="Q81" s="149"/>
      <c r="R81" s="143"/>
      <c r="S81" s="143"/>
    </row>
    <row r="82" spans="1:19" ht="31">
      <c r="A82" s="61">
        <f>IF(F82&lt;&gt;"",1+MAX($A$2:A81),"")</f>
        <v>44</v>
      </c>
      <c r="B82" s="75"/>
      <c r="C82" s="80"/>
      <c r="D82" s="112" t="s">
        <v>101</v>
      </c>
      <c r="E82" s="56">
        <v>1077.73</v>
      </c>
      <c r="F82" s="102">
        <v>0.1</v>
      </c>
      <c r="G82" s="103">
        <f t="shared" ref="G82:G86" si="121">E82*(1+F82)</f>
        <v>1185.5029999999999</v>
      </c>
      <c r="H82" s="104" t="s">
        <v>61</v>
      </c>
      <c r="I82" s="125">
        <v>4.8000000000000001E-2</v>
      </c>
      <c r="J82" s="114">
        <f t="shared" ref="J82:J84" si="122">+I82*G82</f>
        <v>56.904144000000002</v>
      </c>
      <c r="K82" s="115">
        <f>'LABOR SHEET'!C$3</f>
        <v>79.3</v>
      </c>
      <c r="L82" s="116">
        <f t="shared" ref="L82:L84" si="123">I82*K82</f>
        <v>3.8064</v>
      </c>
      <c r="M82" s="116">
        <f t="shared" ref="M82:M84" si="124">K82*J82</f>
        <v>4512.4986191999997</v>
      </c>
      <c r="N82" s="126">
        <v>5.25</v>
      </c>
      <c r="O82" s="116">
        <f t="shared" ref="O82:O84" si="125">N82*G82</f>
        <v>6223.8907499999996</v>
      </c>
      <c r="P82" s="116">
        <f t="shared" ref="P82:P84" si="126">(I82*K82)+N82</f>
        <v>9.0564</v>
      </c>
      <c r="Q82" s="150">
        <f t="shared" ref="Q82:Q84" si="127">P82*G82</f>
        <v>10736.3893692</v>
      </c>
      <c r="R82" s="143"/>
      <c r="S82" s="143"/>
    </row>
    <row r="83" spans="1:19">
      <c r="A83" s="61">
        <f>IF(F83&lt;&gt;"",1+MAX($A$2:A82),"")</f>
        <v>45</v>
      </c>
      <c r="B83" s="75"/>
      <c r="C83" s="80"/>
      <c r="D83" s="112" t="s">
        <v>102</v>
      </c>
      <c r="E83" s="56">
        <v>73.86</v>
      </c>
      <c r="F83" s="102">
        <v>0.05</v>
      </c>
      <c r="G83" s="103">
        <f t="shared" si="121"/>
        <v>77.552999999999997</v>
      </c>
      <c r="H83" s="104" t="s">
        <v>64</v>
      </c>
      <c r="I83" s="125">
        <v>7.3999999999999996E-2</v>
      </c>
      <c r="J83" s="114">
        <f t="shared" si="122"/>
        <v>5.7389219999999996</v>
      </c>
      <c r="K83" s="115">
        <f>'LABOR SHEET'!C$3</f>
        <v>79.3</v>
      </c>
      <c r="L83" s="116">
        <f t="shared" si="123"/>
        <v>5.8681999999999999</v>
      </c>
      <c r="M83" s="116">
        <f t="shared" si="124"/>
        <v>455.09651459999998</v>
      </c>
      <c r="N83" s="126">
        <v>9.35</v>
      </c>
      <c r="O83" s="116">
        <f t="shared" si="125"/>
        <v>725.12054999999998</v>
      </c>
      <c r="P83" s="116">
        <f t="shared" si="126"/>
        <v>15.2182</v>
      </c>
      <c r="Q83" s="150">
        <f t="shared" si="127"/>
        <v>1180.2170646</v>
      </c>
      <c r="R83" s="143"/>
      <c r="S83" s="143"/>
    </row>
    <row r="84" spans="1:19">
      <c r="A84" s="61">
        <f>IF(F84&lt;&gt;"",1+MAX($A$2:A83),"")</f>
        <v>46</v>
      </c>
      <c r="B84" s="75"/>
      <c r="C84" s="80"/>
      <c r="D84" s="112" t="s">
        <v>103</v>
      </c>
      <c r="E84" s="56">
        <v>48.51</v>
      </c>
      <c r="F84" s="102">
        <v>0.05</v>
      </c>
      <c r="G84" s="103">
        <f t="shared" ref="G84" si="128">E84*(1+F84)</f>
        <v>50.935499999999998</v>
      </c>
      <c r="H84" s="104" t="s">
        <v>64</v>
      </c>
      <c r="I84" s="125">
        <v>7.1999999999999995E-2</v>
      </c>
      <c r="J84" s="114">
        <f t="shared" si="122"/>
        <v>3.6673559999999998</v>
      </c>
      <c r="K84" s="115">
        <f>'LABOR SHEET'!C$3</f>
        <v>79.3</v>
      </c>
      <c r="L84" s="116">
        <f t="shared" si="123"/>
        <v>5.7096</v>
      </c>
      <c r="M84" s="116">
        <f t="shared" si="124"/>
        <v>290.8213308</v>
      </c>
      <c r="N84" s="126">
        <v>7.25</v>
      </c>
      <c r="O84" s="116">
        <f t="shared" si="125"/>
        <v>369.282375</v>
      </c>
      <c r="P84" s="116">
        <f t="shared" si="126"/>
        <v>12.9596</v>
      </c>
      <c r="Q84" s="150">
        <f t="shared" si="127"/>
        <v>660.10370579999994</v>
      </c>
      <c r="R84" s="143"/>
      <c r="S84" s="143"/>
    </row>
    <row r="85" spans="1:19">
      <c r="A85" s="61" t="str">
        <f>IF(F85&lt;&gt;"",1+MAX($A$2:A84),"")</f>
        <v/>
      </c>
      <c r="B85" s="75"/>
      <c r="C85" s="80"/>
      <c r="D85" s="158" t="s">
        <v>104</v>
      </c>
      <c r="E85" s="56"/>
      <c r="F85" s="102"/>
      <c r="G85" s="103"/>
      <c r="H85" s="104"/>
      <c r="I85" s="125"/>
      <c r="J85" s="114"/>
      <c r="K85" s="115"/>
      <c r="L85" s="116"/>
      <c r="M85" s="116"/>
      <c r="N85" s="126"/>
      <c r="O85" s="116"/>
      <c r="P85" s="116"/>
      <c r="Q85" s="150"/>
      <c r="R85" s="143"/>
      <c r="S85" s="143"/>
    </row>
    <row r="86" spans="1:19">
      <c r="A86" s="61">
        <f>IF(F86&lt;&gt;"",1+MAX($A$2:A85),"")</f>
        <v>47</v>
      </c>
      <c r="B86" s="75"/>
      <c r="C86" s="80"/>
      <c r="D86" s="112" t="s">
        <v>105</v>
      </c>
      <c r="E86" s="56">
        <v>24</v>
      </c>
      <c r="F86" s="102">
        <v>0</v>
      </c>
      <c r="G86" s="103">
        <f t="shared" si="121"/>
        <v>24</v>
      </c>
      <c r="H86" s="104" t="s">
        <v>55</v>
      </c>
      <c r="I86" s="125">
        <v>0.6</v>
      </c>
      <c r="J86" s="114">
        <f t="shared" ref="J86:J90" si="129">+I86*G86</f>
        <v>14.4</v>
      </c>
      <c r="K86" s="115">
        <f>'LABOR SHEET'!C$3</f>
        <v>79.3</v>
      </c>
      <c r="L86" s="116">
        <f t="shared" ref="L86:L90" si="130">I86*K86</f>
        <v>47.58</v>
      </c>
      <c r="M86" s="116">
        <f t="shared" ref="M86:M90" si="131">K86*J86</f>
        <v>1141.92</v>
      </c>
      <c r="N86" s="126">
        <v>242.91</v>
      </c>
      <c r="O86" s="116">
        <f t="shared" ref="O86:O90" si="132">N86*G86</f>
        <v>5829.84</v>
      </c>
      <c r="P86" s="116">
        <f t="shared" ref="P86:P90" si="133">(I86*K86)+N86</f>
        <v>290.49</v>
      </c>
      <c r="Q86" s="150">
        <f t="shared" ref="Q86:Q90" si="134">P86*G86</f>
        <v>6971.76</v>
      </c>
      <c r="R86" s="143"/>
      <c r="S86" s="143"/>
    </row>
    <row r="87" spans="1:19">
      <c r="A87" s="61">
        <f>IF(F87&lt;&gt;"",1+MAX($A$2:A86),"")</f>
        <v>48</v>
      </c>
      <c r="B87" s="75"/>
      <c r="C87" s="80"/>
      <c r="D87" s="112" t="s">
        <v>106</v>
      </c>
      <c r="E87" s="56">
        <v>54</v>
      </c>
      <c r="F87" s="102">
        <v>0</v>
      </c>
      <c r="G87" s="103">
        <f t="shared" ref="G87:G90" si="135">E87*(1+F87)</f>
        <v>54</v>
      </c>
      <c r="H87" s="104" t="s">
        <v>55</v>
      </c>
      <c r="I87" s="125">
        <v>0.1</v>
      </c>
      <c r="J87" s="114">
        <f t="shared" si="129"/>
        <v>5.4</v>
      </c>
      <c r="K87" s="115">
        <f>'LABOR SHEET'!C$3</f>
        <v>79.3</v>
      </c>
      <c r="L87" s="116">
        <f t="shared" si="130"/>
        <v>7.93</v>
      </c>
      <c r="M87" s="116">
        <f t="shared" si="131"/>
        <v>428.22</v>
      </c>
      <c r="N87" s="126">
        <v>1.35</v>
      </c>
      <c r="O87" s="116">
        <f t="shared" si="132"/>
        <v>72.900000000000006</v>
      </c>
      <c r="P87" s="116">
        <f t="shared" si="133"/>
        <v>9.2799999999999994</v>
      </c>
      <c r="Q87" s="150">
        <f t="shared" si="134"/>
        <v>501.12</v>
      </c>
      <c r="R87" s="143"/>
      <c r="S87" s="143"/>
    </row>
    <row r="88" spans="1:19">
      <c r="A88" s="61">
        <f>IF(F88&lt;&gt;"",1+MAX($A$2:A87),"")</f>
        <v>49</v>
      </c>
      <c r="B88" s="75"/>
      <c r="C88" s="80"/>
      <c r="D88" s="112" t="s">
        <v>107</v>
      </c>
      <c r="E88" s="56">
        <v>72</v>
      </c>
      <c r="F88" s="102">
        <v>0</v>
      </c>
      <c r="G88" s="103">
        <f t="shared" si="135"/>
        <v>72</v>
      </c>
      <c r="H88" s="104" t="s">
        <v>55</v>
      </c>
      <c r="I88" s="125">
        <v>0.09</v>
      </c>
      <c r="J88" s="114">
        <f t="shared" si="129"/>
        <v>6.48</v>
      </c>
      <c r="K88" s="115">
        <f>'LABOR SHEET'!C$3</f>
        <v>79.3</v>
      </c>
      <c r="L88" s="116">
        <f t="shared" si="130"/>
        <v>7.1369999999999996</v>
      </c>
      <c r="M88" s="116">
        <f t="shared" si="131"/>
        <v>513.86400000000003</v>
      </c>
      <c r="N88" s="126">
        <v>0.72</v>
      </c>
      <c r="O88" s="116">
        <f t="shared" si="132"/>
        <v>51.84</v>
      </c>
      <c r="P88" s="116">
        <f t="shared" si="133"/>
        <v>7.8570000000000002</v>
      </c>
      <c r="Q88" s="150">
        <f t="shared" si="134"/>
        <v>565.70399999999995</v>
      </c>
      <c r="R88" s="143"/>
      <c r="S88" s="143"/>
    </row>
    <row r="89" spans="1:19">
      <c r="A89" s="61">
        <f>IF(F89&lt;&gt;"",1+MAX($A$2:A88),"")</f>
        <v>50</v>
      </c>
      <c r="B89" s="75"/>
      <c r="C89" s="80"/>
      <c r="D89" s="112" t="s">
        <v>108</v>
      </c>
      <c r="E89" s="56">
        <v>6</v>
      </c>
      <c r="F89" s="102">
        <v>0</v>
      </c>
      <c r="G89" s="103">
        <f t="shared" si="135"/>
        <v>6</v>
      </c>
      <c r="H89" s="104" t="s">
        <v>55</v>
      </c>
      <c r="I89" s="125">
        <v>0.5</v>
      </c>
      <c r="J89" s="114">
        <f t="shared" si="129"/>
        <v>3</v>
      </c>
      <c r="K89" s="115">
        <f>'LABOR SHEET'!C$3</f>
        <v>79.3</v>
      </c>
      <c r="L89" s="116">
        <f t="shared" si="130"/>
        <v>39.65</v>
      </c>
      <c r="M89" s="116">
        <f t="shared" si="131"/>
        <v>237.9</v>
      </c>
      <c r="N89" s="126">
        <v>174</v>
      </c>
      <c r="O89" s="116">
        <f t="shared" si="132"/>
        <v>1044</v>
      </c>
      <c r="P89" s="116">
        <f t="shared" si="133"/>
        <v>213.65</v>
      </c>
      <c r="Q89" s="150">
        <f t="shared" si="134"/>
        <v>1281.9000000000001</v>
      </c>
      <c r="R89" s="143"/>
      <c r="S89" s="143"/>
    </row>
    <row r="90" spans="1:19">
      <c r="A90" s="61">
        <f>IF(F90&lt;&gt;"",1+MAX($A$2:A89),"")</f>
        <v>51</v>
      </c>
      <c r="B90" s="75"/>
      <c r="C90" s="80"/>
      <c r="D90" s="112" t="s">
        <v>109</v>
      </c>
      <c r="E90" s="56">
        <v>20</v>
      </c>
      <c r="F90" s="102">
        <v>0</v>
      </c>
      <c r="G90" s="103">
        <f t="shared" si="135"/>
        <v>20</v>
      </c>
      <c r="H90" s="104" t="s">
        <v>55</v>
      </c>
      <c r="I90" s="125">
        <v>7.0000000000000007E-2</v>
      </c>
      <c r="J90" s="114">
        <f t="shared" si="129"/>
        <v>1.4</v>
      </c>
      <c r="K90" s="115">
        <f>'LABOR SHEET'!C$3</f>
        <v>79.3</v>
      </c>
      <c r="L90" s="116">
        <f t="shared" si="130"/>
        <v>5.5510000000000002</v>
      </c>
      <c r="M90" s="116">
        <f t="shared" si="131"/>
        <v>111.02</v>
      </c>
      <c r="N90" s="126">
        <v>0.6</v>
      </c>
      <c r="O90" s="116">
        <f t="shared" si="132"/>
        <v>12</v>
      </c>
      <c r="P90" s="116">
        <f t="shared" si="133"/>
        <v>6.1509999999999998</v>
      </c>
      <c r="Q90" s="150">
        <f t="shared" si="134"/>
        <v>123.02</v>
      </c>
      <c r="R90" s="143"/>
      <c r="S90" s="143"/>
    </row>
    <row r="91" spans="1:19">
      <c r="A91" s="61" t="str">
        <f>IF(F91&lt;&gt;"",1+MAX($A$2:A90),"")</f>
        <v/>
      </c>
      <c r="B91" s="75"/>
      <c r="C91" s="80"/>
      <c r="D91" s="112"/>
      <c r="E91" s="56"/>
      <c r="F91" s="102"/>
      <c r="G91" s="103"/>
      <c r="H91" s="104"/>
      <c r="I91" s="113"/>
      <c r="J91" s="114"/>
      <c r="K91" s="115"/>
      <c r="L91" s="116"/>
      <c r="M91" s="116"/>
      <c r="N91" s="116"/>
      <c r="O91" s="116"/>
      <c r="P91" s="116"/>
      <c r="Q91" s="149"/>
      <c r="R91" s="143"/>
      <c r="S91" s="143"/>
    </row>
    <row r="92" spans="1:19" s="26" customFormat="1">
      <c r="A92" s="96" t="str">
        <f>IF(F92&lt;&gt;"",1+MAX($A$2:A91),"")</f>
        <v/>
      </c>
      <c r="B92" s="97"/>
      <c r="C92" s="98"/>
      <c r="D92" s="67" t="s">
        <v>51</v>
      </c>
      <c r="E92" s="68"/>
      <c r="F92" s="68"/>
      <c r="G92" s="68"/>
      <c r="H92" s="68"/>
      <c r="I92" s="68"/>
      <c r="J92" s="131"/>
      <c r="K92" s="131"/>
      <c r="L92" s="132"/>
      <c r="M92" s="133"/>
      <c r="N92" s="132"/>
      <c r="O92" s="121"/>
      <c r="P92" s="121"/>
      <c r="Q92" s="144">
        <f>SUM(Q61:Q90)</f>
        <v>30207.451983825002</v>
      </c>
      <c r="R92" s="145"/>
    </row>
    <row r="93" spans="1:19" s="26" customFormat="1">
      <c r="A93" s="108" t="str">
        <f>IF(F93&lt;&gt;"",1+MAX($A$2:A92),"")</f>
        <v/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153"/>
      <c r="R93" s="145"/>
    </row>
    <row r="94" spans="1:19" s="28" customFormat="1">
      <c r="A94" s="41" t="str">
        <f>IF(F94&lt;&gt;"",1+MAX($A$2:A93),"")</f>
        <v/>
      </c>
      <c r="B94" s="42"/>
      <c r="C94" s="43">
        <v>7</v>
      </c>
      <c r="D94" s="70" t="s">
        <v>110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147"/>
      <c r="S94" s="148"/>
    </row>
    <row r="95" spans="1:19" ht="18" customHeight="1">
      <c r="A95" s="61" t="str">
        <f>IF(F95&lt;&gt;"",1+MAX($A$2:A94),"")</f>
        <v/>
      </c>
      <c r="B95" s="71"/>
      <c r="C95" s="56"/>
      <c r="D95" s="111" t="s">
        <v>111</v>
      </c>
      <c r="E95" s="73"/>
      <c r="F95" s="102"/>
      <c r="G95" s="103"/>
      <c r="H95" s="104"/>
      <c r="I95" s="122"/>
      <c r="J95" s="56"/>
      <c r="K95" s="123"/>
      <c r="L95" s="123"/>
      <c r="M95" s="123"/>
      <c r="N95" s="123"/>
      <c r="O95" s="123"/>
      <c r="P95" s="123"/>
      <c r="Q95" s="149"/>
      <c r="R95" s="143"/>
      <c r="S95" s="143"/>
    </row>
    <row r="96" spans="1:19" ht="18" customHeight="1">
      <c r="A96" s="61" t="str">
        <f>IF(F96&lt;&gt;"",1+MAX($A$2:A95),"")</f>
        <v/>
      </c>
      <c r="B96" s="75"/>
      <c r="C96" s="62"/>
      <c r="D96" s="76" t="s">
        <v>112</v>
      </c>
      <c r="E96" s="84"/>
      <c r="F96" s="102"/>
      <c r="G96" s="103"/>
      <c r="H96" s="159"/>
      <c r="I96" s="122"/>
      <c r="J96" s="124"/>
      <c r="K96" s="124"/>
      <c r="L96" s="124"/>
      <c r="M96" s="124"/>
      <c r="N96" s="124"/>
      <c r="O96" s="124"/>
      <c r="P96" s="124"/>
      <c r="Q96" s="149"/>
      <c r="R96" s="143"/>
      <c r="S96" s="143"/>
    </row>
    <row r="97" spans="1:19" ht="18" customHeight="1">
      <c r="A97" s="61">
        <f>IF(F97&lt;&gt;"",1+MAX($A$2:A96),"")</f>
        <v>52</v>
      </c>
      <c r="B97" s="75"/>
      <c r="C97" s="52"/>
      <c r="D97" s="47" t="s">
        <v>113</v>
      </c>
      <c r="E97" s="56">
        <v>1111.7338999999999</v>
      </c>
      <c r="F97" s="55">
        <v>0.1</v>
      </c>
      <c r="G97" s="56">
        <f>(F97*E97)+E97</f>
        <v>1222.9072900000001</v>
      </c>
      <c r="H97" s="54" t="s">
        <v>61</v>
      </c>
      <c r="I97" s="125">
        <v>1.2E-2</v>
      </c>
      <c r="J97" s="114">
        <f t="shared" ref="J97" si="136">+I97*G97</f>
        <v>14.674887480000001</v>
      </c>
      <c r="K97" s="115">
        <f>'LABOR SHEET'!C$3</f>
        <v>79.3</v>
      </c>
      <c r="L97" s="116">
        <f t="shared" ref="L97" si="137">I97*K97</f>
        <v>0.9516</v>
      </c>
      <c r="M97" s="116">
        <f t="shared" ref="M97" si="138">K97*J97</f>
        <v>1163.718577164</v>
      </c>
      <c r="N97" s="126">
        <v>1.69</v>
      </c>
      <c r="O97" s="116">
        <f t="shared" ref="O97" si="139">N97*G97</f>
        <v>2066.7133201000001</v>
      </c>
      <c r="P97" s="116">
        <f t="shared" ref="P97" si="140">(I97*K97)+N97</f>
        <v>2.6415999999999999</v>
      </c>
      <c r="Q97" s="150">
        <f t="shared" ref="Q97" si="141">P97*G97</f>
        <v>3230.4318972639999</v>
      </c>
      <c r="R97" s="143"/>
      <c r="S97" s="143"/>
    </row>
    <row r="98" spans="1:19" ht="18" customHeight="1">
      <c r="A98" s="107" t="str">
        <f>IF(F98&lt;&gt;"",1+MAX($A$2:A97),"")</f>
        <v/>
      </c>
      <c r="B98" s="71"/>
      <c r="C98" s="66"/>
      <c r="D98" s="111" t="s">
        <v>114</v>
      </c>
      <c r="E98" s="73"/>
      <c r="F98" s="102"/>
      <c r="G98" s="103"/>
      <c r="H98" s="104"/>
      <c r="I98" s="128"/>
      <c r="J98" s="124"/>
      <c r="K98" s="123"/>
      <c r="L98" s="123"/>
      <c r="M98" s="123"/>
      <c r="N98" s="129"/>
      <c r="O98" s="123"/>
      <c r="P98" s="124"/>
      <c r="Q98" s="149"/>
      <c r="R98" s="143"/>
      <c r="S98" s="143"/>
    </row>
    <row r="99" spans="1:19" ht="15.65" customHeight="1">
      <c r="A99" s="61" t="str">
        <f>IF(F99&lt;&gt;"",1+MAX($A$2:A98),"")</f>
        <v/>
      </c>
      <c r="B99" s="75"/>
      <c r="C99" s="52"/>
      <c r="D99" s="76" t="s">
        <v>115</v>
      </c>
      <c r="E99" s="56"/>
      <c r="F99" s="102"/>
      <c r="G99" s="103"/>
      <c r="H99" s="104"/>
      <c r="I99" s="128"/>
      <c r="J99" s="124"/>
      <c r="K99" s="124"/>
      <c r="L99" s="124"/>
      <c r="M99" s="124"/>
      <c r="N99" s="128"/>
      <c r="O99" s="124"/>
      <c r="P99" s="124"/>
      <c r="Q99" s="149"/>
      <c r="R99" s="143"/>
      <c r="S99" s="143"/>
    </row>
    <row r="100" spans="1:19" ht="18" customHeight="1">
      <c r="A100" s="61">
        <f>IF(F100&lt;&gt;"",1+MAX($A$2:A99),"")</f>
        <v>53</v>
      </c>
      <c r="B100" s="75"/>
      <c r="C100" s="52"/>
      <c r="D100" s="47" t="s">
        <v>116</v>
      </c>
      <c r="E100" s="56">
        <v>1137.46</v>
      </c>
      <c r="F100" s="55">
        <v>0.1</v>
      </c>
      <c r="G100" s="56">
        <f t="shared" ref="G100" si="142">(F100*E100)+E100</f>
        <v>1251.2059999999999</v>
      </c>
      <c r="H100" s="54" t="s">
        <v>61</v>
      </c>
      <c r="I100" s="125">
        <v>3.5000000000000003E-2</v>
      </c>
      <c r="J100" s="114">
        <f t="shared" ref="J100" si="143">+I100*G100</f>
        <v>43.792209999999997</v>
      </c>
      <c r="K100" s="115">
        <f>'LABOR SHEET'!C$15</f>
        <v>53.2</v>
      </c>
      <c r="L100" s="116">
        <f t="shared" ref="L100" si="144">I100*K100</f>
        <v>1.8620000000000001</v>
      </c>
      <c r="M100" s="116">
        <f t="shared" ref="M100" si="145">K100*J100</f>
        <v>2329.7455719999998</v>
      </c>
      <c r="N100" s="126">
        <v>4.55</v>
      </c>
      <c r="O100" s="116">
        <f t="shared" ref="O100" si="146">N100*G100</f>
        <v>5692.9872999999998</v>
      </c>
      <c r="P100" s="116">
        <f t="shared" ref="P100" si="147">(I100*K100)+N100</f>
        <v>6.4119999999999999</v>
      </c>
      <c r="Q100" s="150">
        <f t="shared" ref="Q100" si="148">P100*G100</f>
        <v>8022.7328719999996</v>
      </c>
      <c r="R100" s="143"/>
      <c r="S100" s="143"/>
    </row>
    <row r="101" spans="1:19" ht="18" customHeight="1">
      <c r="A101" s="61">
        <f>IF(F101&lt;&gt;"",1+MAX($A$2:A100),"")</f>
        <v>54</v>
      </c>
      <c r="B101" s="75"/>
      <c r="C101" s="52"/>
      <c r="D101" s="47" t="s">
        <v>117</v>
      </c>
      <c r="E101" s="56">
        <f>+E100</f>
        <v>1137.46</v>
      </c>
      <c r="F101" s="55">
        <v>0.1</v>
      </c>
      <c r="G101" s="56">
        <f t="shared" ref="G101" si="149">(F101*E101)+E101</f>
        <v>1251.2059999999999</v>
      </c>
      <c r="H101" s="54" t="s">
        <v>61</v>
      </c>
      <c r="I101" s="125">
        <v>8.0000000000000002E-3</v>
      </c>
      <c r="J101" s="114">
        <f t="shared" ref="J101:J103" si="150">+I101*G101</f>
        <v>10.009648</v>
      </c>
      <c r="K101" s="115">
        <f>'LABOR SHEET'!C$15</f>
        <v>53.2</v>
      </c>
      <c r="L101" s="116">
        <f t="shared" ref="L101:L103" si="151">I101*K101</f>
        <v>0.42559999999999998</v>
      </c>
      <c r="M101" s="116">
        <f t="shared" ref="M101:M103" si="152">K101*J101</f>
        <v>532.51327360000005</v>
      </c>
      <c r="N101" s="126">
        <v>0.32</v>
      </c>
      <c r="O101" s="116">
        <f t="shared" ref="O101:O103" si="153">N101*G101</f>
        <v>400.38592</v>
      </c>
      <c r="P101" s="116">
        <f t="shared" ref="P101:P103" si="154">(I101*K101)+N101</f>
        <v>0.74560000000000004</v>
      </c>
      <c r="Q101" s="150">
        <f t="shared" ref="Q101:Q103" si="155">P101*G101</f>
        <v>932.89919359999999</v>
      </c>
      <c r="R101" s="143"/>
      <c r="S101" s="143"/>
    </row>
    <row r="102" spans="1:19" ht="18" customHeight="1">
      <c r="A102" s="61">
        <f>IF(F102&lt;&gt;"",1+MAX($A$2:A101),"")</f>
        <v>55</v>
      </c>
      <c r="B102" s="75"/>
      <c r="C102" s="52"/>
      <c r="D102" s="47" t="s">
        <v>118</v>
      </c>
      <c r="E102" s="56">
        <v>151.33000000000001</v>
      </c>
      <c r="F102" s="55">
        <v>0.05</v>
      </c>
      <c r="G102" s="56">
        <f t="shared" ref="G102:G108" si="156">(F102*E102)+E102</f>
        <v>158.8965</v>
      </c>
      <c r="H102" s="54" t="s">
        <v>64</v>
      </c>
      <c r="I102" s="125">
        <v>0.05</v>
      </c>
      <c r="J102" s="114">
        <f t="shared" si="150"/>
        <v>7.9448249999999998</v>
      </c>
      <c r="K102" s="115">
        <f>'LABOR SHEET'!C$15</f>
        <v>53.2</v>
      </c>
      <c r="L102" s="116">
        <f t="shared" si="151"/>
        <v>2.66</v>
      </c>
      <c r="M102" s="116">
        <f t="shared" si="152"/>
        <v>422.66469000000001</v>
      </c>
      <c r="N102" s="126">
        <f>53.2/10</f>
        <v>5.32</v>
      </c>
      <c r="O102" s="116">
        <f t="shared" si="153"/>
        <v>845.32938000000001</v>
      </c>
      <c r="P102" s="116">
        <f t="shared" si="154"/>
        <v>7.98</v>
      </c>
      <c r="Q102" s="150">
        <f t="shared" si="155"/>
        <v>1267.99407</v>
      </c>
      <c r="R102" s="143"/>
      <c r="S102" s="143"/>
    </row>
    <row r="103" spans="1:19" ht="18" customHeight="1">
      <c r="A103" s="61">
        <f>IF(F103&lt;&gt;"",1+MAX($A$2:A102),"")</f>
        <v>56</v>
      </c>
      <c r="B103" s="75"/>
      <c r="C103" s="52"/>
      <c r="D103" s="47" t="s">
        <v>119</v>
      </c>
      <c r="E103" s="56">
        <f>80.34+29.51</f>
        <v>109.85</v>
      </c>
      <c r="F103" s="55">
        <v>0.05</v>
      </c>
      <c r="G103" s="56">
        <f t="shared" ref="G103" si="157">(F103*E103)+E103</f>
        <v>115.3425</v>
      </c>
      <c r="H103" s="54" t="s">
        <v>64</v>
      </c>
      <c r="I103" s="125">
        <v>6.5000000000000002E-2</v>
      </c>
      <c r="J103" s="114">
        <f t="shared" si="150"/>
        <v>7.4972624999999997</v>
      </c>
      <c r="K103" s="115">
        <f>'LABOR SHEET'!C$15</f>
        <v>53.2</v>
      </c>
      <c r="L103" s="116">
        <f t="shared" si="151"/>
        <v>3.4580000000000002</v>
      </c>
      <c r="M103" s="116">
        <f t="shared" si="152"/>
        <v>398.85436499999997</v>
      </c>
      <c r="N103" s="126">
        <f>16/(17.25/12)</f>
        <v>11.130434782608701</v>
      </c>
      <c r="O103" s="116">
        <f t="shared" si="153"/>
        <v>1283.8121739130399</v>
      </c>
      <c r="P103" s="116">
        <f t="shared" si="154"/>
        <v>14.588434782608701</v>
      </c>
      <c r="Q103" s="150">
        <f t="shared" si="155"/>
        <v>1682.6665389130401</v>
      </c>
      <c r="R103" s="143"/>
      <c r="S103" s="143"/>
    </row>
    <row r="104" spans="1:19" ht="18" customHeight="1">
      <c r="A104" s="61" t="str">
        <f>IF(F104&lt;&gt;"",1+MAX($A$2:A103),"")</f>
        <v/>
      </c>
      <c r="B104" s="75"/>
      <c r="C104" s="52"/>
      <c r="D104" s="47"/>
      <c r="E104" s="56"/>
      <c r="F104" s="55"/>
      <c r="G104" s="56"/>
      <c r="H104" s="54"/>
      <c r="I104" s="125"/>
      <c r="J104" s="114"/>
      <c r="K104" s="115"/>
      <c r="L104" s="116"/>
      <c r="M104" s="116"/>
      <c r="N104" s="126"/>
      <c r="O104" s="116"/>
      <c r="P104" s="116"/>
      <c r="Q104" s="150"/>
      <c r="R104" s="143"/>
      <c r="S104" s="143"/>
    </row>
    <row r="105" spans="1:19" ht="15.65" customHeight="1">
      <c r="A105" s="61" t="str">
        <f>IF(F105&lt;&gt;"",1+MAX($A$2:A104),"")</f>
        <v/>
      </c>
      <c r="B105" s="75"/>
      <c r="C105" s="52"/>
      <c r="D105" s="160" t="s">
        <v>120</v>
      </c>
      <c r="E105" s="56"/>
      <c r="F105" s="55"/>
      <c r="G105" s="56"/>
      <c r="H105" s="54"/>
      <c r="I105" s="125"/>
      <c r="J105" s="114"/>
      <c r="K105" s="115"/>
      <c r="L105" s="116"/>
      <c r="M105" s="116"/>
      <c r="N105" s="126"/>
      <c r="O105" s="116"/>
      <c r="P105" s="116"/>
      <c r="Q105" s="150"/>
      <c r="R105" s="143"/>
      <c r="S105" s="143"/>
    </row>
    <row r="106" spans="1:19" ht="18" customHeight="1">
      <c r="A106" s="61">
        <f>IF(F106&lt;&gt;"",1+MAX($A$2:A105),"")</f>
        <v>57</v>
      </c>
      <c r="B106" s="75"/>
      <c r="C106" s="52"/>
      <c r="D106" s="47" t="s">
        <v>121</v>
      </c>
      <c r="E106" s="56">
        <v>11.44</v>
      </c>
      <c r="F106" s="55">
        <v>0.05</v>
      </c>
      <c r="G106" s="56">
        <f t="shared" si="156"/>
        <v>12.012</v>
      </c>
      <c r="H106" s="54" t="s">
        <v>64</v>
      </c>
      <c r="I106" s="125">
        <v>0.04</v>
      </c>
      <c r="J106" s="114">
        <f t="shared" ref="J106:J109" si="158">+I106*G106</f>
        <v>0.48048000000000002</v>
      </c>
      <c r="K106" s="115">
        <f>'LABOR SHEET'!C$15</f>
        <v>53.2</v>
      </c>
      <c r="L106" s="116">
        <f t="shared" ref="L106:L109" si="159">I106*K106</f>
        <v>2.1280000000000001</v>
      </c>
      <c r="M106" s="116">
        <f t="shared" ref="M106:M109" si="160">K106*J106</f>
        <v>25.561536</v>
      </c>
      <c r="N106" s="126">
        <v>4.9000000000000004</v>
      </c>
      <c r="O106" s="116">
        <f t="shared" ref="O106:O109" si="161">N106*G106</f>
        <v>58.858800000000002</v>
      </c>
      <c r="P106" s="116">
        <f t="shared" ref="P106:P109" si="162">(I106*K106)+N106</f>
        <v>7.0279999999999996</v>
      </c>
      <c r="Q106" s="150">
        <f t="shared" ref="Q106:Q109" si="163">P106*G106</f>
        <v>84.420336000000006</v>
      </c>
      <c r="R106" s="143"/>
      <c r="S106" s="143"/>
    </row>
    <row r="107" spans="1:19" ht="18" customHeight="1">
      <c r="A107" s="61">
        <f>IF(F107&lt;&gt;"",1+MAX($A$2:A106),"")</f>
        <v>58</v>
      </c>
      <c r="B107" s="75"/>
      <c r="C107" s="52"/>
      <c r="D107" s="82" t="s">
        <v>122</v>
      </c>
      <c r="E107" s="56">
        <f>+E106*3</f>
        <v>34.32</v>
      </c>
      <c r="F107" s="55">
        <v>0.1</v>
      </c>
      <c r="G107" s="56">
        <f t="shared" si="156"/>
        <v>37.752000000000002</v>
      </c>
      <c r="H107" s="54" t="s">
        <v>61</v>
      </c>
      <c r="I107" s="125">
        <v>5.0000000000000001E-3</v>
      </c>
      <c r="J107" s="114">
        <f t="shared" si="158"/>
        <v>0.18876000000000001</v>
      </c>
      <c r="K107" s="115">
        <f>'LABOR SHEET'!C$15</f>
        <v>53.2</v>
      </c>
      <c r="L107" s="116">
        <f t="shared" si="159"/>
        <v>0.26600000000000001</v>
      </c>
      <c r="M107" s="116">
        <f t="shared" si="160"/>
        <v>10.042032000000001</v>
      </c>
      <c r="N107" s="126">
        <v>0.8</v>
      </c>
      <c r="O107" s="116">
        <f t="shared" si="161"/>
        <v>30.201599999999999</v>
      </c>
      <c r="P107" s="116">
        <f t="shared" si="162"/>
        <v>1.0660000000000001</v>
      </c>
      <c r="Q107" s="150">
        <f t="shared" si="163"/>
        <v>40.243631999999998</v>
      </c>
      <c r="R107" s="143"/>
      <c r="S107" s="143"/>
    </row>
    <row r="108" spans="1:19" ht="15.65" customHeight="1">
      <c r="A108" s="61">
        <f>IF(F108&lt;&gt;"",1+MAX($A$2:A107),"")</f>
        <v>59</v>
      </c>
      <c r="B108" s="75"/>
      <c r="C108" s="52"/>
      <c r="D108" s="47" t="s">
        <v>123</v>
      </c>
      <c r="E108" s="56">
        <f>+E103</f>
        <v>109.85</v>
      </c>
      <c r="F108" s="55">
        <v>0.05</v>
      </c>
      <c r="G108" s="56">
        <f t="shared" si="156"/>
        <v>115.3425</v>
      </c>
      <c r="H108" s="54" t="s">
        <v>64</v>
      </c>
      <c r="I108" s="125">
        <v>4.8000000000000001E-2</v>
      </c>
      <c r="J108" s="114">
        <f t="shared" si="158"/>
        <v>5.5364399999999998</v>
      </c>
      <c r="K108" s="115">
        <f>'LABOR SHEET'!C$15</f>
        <v>53.2</v>
      </c>
      <c r="L108" s="116">
        <f t="shared" si="159"/>
        <v>2.5535999999999999</v>
      </c>
      <c r="M108" s="116">
        <f t="shared" si="160"/>
        <v>294.53860800000001</v>
      </c>
      <c r="N108" s="126">
        <v>5.3</v>
      </c>
      <c r="O108" s="116">
        <f t="shared" si="161"/>
        <v>611.31524999999999</v>
      </c>
      <c r="P108" s="116">
        <f t="shared" si="162"/>
        <v>7.8536000000000001</v>
      </c>
      <c r="Q108" s="150">
        <f t="shared" si="163"/>
        <v>905.85385799999995</v>
      </c>
      <c r="R108" s="143"/>
      <c r="S108" s="143"/>
    </row>
    <row r="109" spans="1:19" ht="18" customHeight="1">
      <c r="A109" s="61">
        <f>IF(F109&lt;&gt;"",1+MAX($A$2:A108),"")</f>
        <v>60</v>
      </c>
      <c r="B109" s="75"/>
      <c r="C109" s="52"/>
      <c r="D109" s="47" t="s">
        <v>124</v>
      </c>
      <c r="E109" s="56">
        <v>151.33000000000001</v>
      </c>
      <c r="F109" s="55">
        <v>0.05</v>
      </c>
      <c r="G109" s="56">
        <f t="shared" ref="G109" si="164">(F109*E109)+E109</f>
        <v>158.8965</v>
      </c>
      <c r="H109" s="54" t="s">
        <v>64</v>
      </c>
      <c r="I109" s="125">
        <v>3.5000000000000003E-2</v>
      </c>
      <c r="J109" s="114">
        <f t="shared" si="158"/>
        <v>5.5613774999999999</v>
      </c>
      <c r="K109" s="115">
        <f>'LABOR SHEET'!C$15</f>
        <v>53.2</v>
      </c>
      <c r="L109" s="116">
        <f t="shared" si="159"/>
        <v>1.8620000000000001</v>
      </c>
      <c r="M109" s="116">
        <f t="shared" si="160"/>
        <v>295.86528299999998</v>
      </c>
      <c r="N109" s="126">
        <v>3.8</v>
      </c>
      <c r="O109" s="116">
        <f t="shared" si="161"/>
        <v>603.80669999999998</v>
      </c>
      <c r="P109" s="116">
        <f t="shared" si="162"/>
        <v>5.6619999999999999</v>
      </c>
      <c r="Q109" s="150">
        <f t="shared" si="163"/>
        <v>899.67198299999995</v>
      </c>
      <c r="R109" s="143"/>
      <c r="S109" s="143"/>
    </row>
    <row r="110" spans="1:19" ht="18" customHeight="1">
      <c r="A110" s="61" t="str">
        <f>IF(F110&lt;&gt;"",1+MAX($A$2:A109),"")</f>
        <v/>
      </c>
      <c r="B110" s="75"/>
      <c r="C110" s="52"/>
      <c r="D110" s="47"/>
      <c r="E110" s="56"/>
      <c r="F110" s="55"/>
      <c r="G110" s="56"/>
      <c r="H110" s="54"/>
      <c r="I110" s="125"/>
      <c r="J110" s="114"/>
      <c r="K110" s="115"/>
      <c r="L110" s="116"/>
      <c r="M110" s="116"/>
      <c r="N110" s="126"/>
      <c r="O110" s="116"/>
      <c r="P110" s="116"/>
      <c r="Q110" s="150"/>
      <c r="R110" s="143"/>
      <c r="S110" s="143"/>
    </row>
    <row r="111" spans="1:19" ht="15.65" customHeight="1">
      <c r="A111" s="61" t="str">
        <f>IF(F111&lt;&gt;"",1+MAX($A$2:A110),"")</f>
        <v/>
      </c>
      <c r="B111" s="75"/>
      <c r="C111" s="52"/>
      <c r="D111" s="160" t="s">
        <v>125</v>
      </c>
      <c r="E111" s="56"/>
      <c r="F111" s="55"/>
      <c r="G111" s="56"/>
      <c r="H111" s="54"/>
      <c r="I111" s="125"/>
      <c r="J111" s="114"/>
      <c r="K111" s="115"/>
      <c r="L111" s="116"/>
      <c r="M111" s="116"/>
      <c r="N111" s="126"/>
      <c r="O111" s="116"/>
      <c r="P111" s="116"/>
      <c r="Q111" s="150"/>
      <c r="R111" s="143"/>
      <c r="S111" s="143"/>
    </row>
    <row r="112" spans="1:19" ht="18" customHeight="1">
      <c r="A112" s="61">
        <f>IF(F112&lt;&gt;"",1+MAX($A$2:A111),"")</f>
        <v>61</v>
      </c>
      <c r="B112" s="75"/>
      <c r="C112" s="52"/>
      <c r="D112" s="47" t="s">
        <v>126</v>
      </c>
      <c r="E112" s="56">
        <v>151.33000000000001</v>
      </c>
      <c r="F112" s="55">
        <v>0.05</v>
      </c>
      <c r="G112" s="56">
        <f t="shared" ref="G112" si="165">(F112*E112)+E112</f>
        <v>158.8965</v>
      </c>
      <c r="H112" s="54" t="s">
        <v>64</v>
      </c>
      <c r="I112" s="125">
        <v>3.2000000000000001E-2</v>
      </c>
      <c r="J112" s="114">
        <f t="shared" ref="J112:J118" si="166">+I112*G112</f>
        <v>5.0846879999999999</v>
      </c>
      <c r="K112" s="115">
        <f>'LABOR SHEET'!C$15</f>
        <v>53.2</v>
      </c>
      <c r="L112" s="116">
        <f t="shared" ref="L112:L118" si="167">I112*K112</f>
        <v>1.7023999999999999</v>
      </c>
      <c r="M112" s="116">
        <f t="shared" ref="M112:M118" si="168">K112*J112</f>
        <v>270.50540160000003</v>
      </c>
      <c r="N112" s="126">
        <v>3.5</v>
      </c>
      <c r="O112" s="116">
        <f t="shared" ref="O112:O118" si="169">N112*G112</f>
        <v>556.13774999999998</v>
      </c>
      <c r="P112" s="116">
        <f t="shared" ref="P112:P118" si="170">(I112*K112)+N112</f>
        <v>5.2023999999999999</v>
      </c>
      <c r="Q112" s="150">
        <f t="shared" ref="Q112:Q118" si="171">P112*G112</f>
        <v>826.64315160000001</v>
      </c>
      <c r="R112" s="143"/>
      <c r="S112" s="143"/>
    </row>
    <row r="113" spans="1:19" ht="18" customHeight="1">
      <c r="A113" s="61">
        <f>IF(F113&lt;&gt;"",1+MAX($A$2:A112),"")</f>
        <v>62</v>
      </c>
      <c r="B113" s="75"/>
      <c r="C113" s="52"/>
      <c r="D113" s="47" t="s">
        <v>127</v>
      </c>
      <c r="E113" s="56">
        <v>151.33000000000001</v>
      </c>
      <c r="F113" s="55">
        <v>0.05</v>
      </c>
      <c r="G113" s="56">
        <f t="shared" ref="G113:G115" si="172">(F113*E113)+E113</f>
        <v>158.8965</v>
      </c>
      <c r="H113" s="54" t="s">
        <v>64</v>
      </c>
      <c r="I113" s="125">
        <v>2.4E-2</v>
      </c>
      <c r="J113" s="114">
        <f t="shared" si="166"/>
        <v>3.8135159999999999</v>
      </c>
      <c r="K113" s="115">
        <f>'LABOR SHEET'!C$15</f>
        <v>53.2</v>
      </c>
      <c r="L113" s="116">
        <f t="shared" si="167"/>
        <v>1.2767999999999999</v>
      </c>
      <c r="M113" s="116">
        <f t="shared" si="168"/>
        <v>202.87905119999999</v>
      </c>
      <c r="N113" s="126">
        <v>2.25</v>
      </c>
      <c r="O113" s="116">
        <f t="shared" si="169"/>
        <v>357.51712500000002</v>
      </c>
      <c r="P113" s="116">
        <f t="shared" si="170"/>
        <v>3.5268000000000002</v>
      </c>
      <c r="Q113" s="150">
        <f t="shared" si="171"/>
        <v>560.39617620000001</v>
      </c>
      <c r="R113" s="143"/>
      <c r="S113" s="143"/>
    </row>
    <row r="114" spans="1:19" ht="18" customHeight="1">
      <c r="A114" s="61">
        <f>IF(F114&lt;&gt;"",1+MAX($A$2:A113),"")</f>
        <v>63</v>
      </c>
      <c r="B114" s="75"/>
      <c r="C114" s="52"/>
      <c r="D114" s="47" t="s">
        <v>128</v>
      </c>
      <c r="E114" s="56">
        <v>151.33000000000001</v>
      </c>
      <c r="F114" s="55">
        <v>0.05</v>
      </c>
      <c r="G114" s="56">
        <f t="shared" ref="G114" si="173">(F114*E114)+E114</f>
        <v>158.8965</v>
      </c>
      <c r="H114" s="54" t="s">
        <v>64</v>
      </c>
      <c r="I114" s="125">
        <v>2.4E-2</v>
      </c>
      <c r="J114" s="114">
        <f t="shared" si="166"/>
        <v>3.8135159999999999</v>
      </c>
      <c r="K114" s="115">
        <f>'LABOR SHEET'!C$15</f>
        <v>53.2</v>
      </c>
      <c r="L114" s="116">
        <f t="shared" si="167"/>
        <v>1.2767999999999999</v>
      </c>
      <c r="M114" s="116">
        <f t="shared" si="168"/>
        <v>202.87905119999999</v>
      </c>
      <c r="N114" s="126">
        <v>2.64</v>
      </c>
      <c r="O114" s="116">
        <f t="shared" si="169"/>
        <v>419.48676</v>
      </c>
      <c r="P114" s="116">
        <f t="shared" si="170"/>
        <v>3.9167999999999998</v>
      </c>
      <c r="Q114" s="150">
        <f t="shared" si="171"/>
        <v>622.36581120000005</v>
      </c>
      <c r="R114" s="143"/>
      <c r="S114" s="143"/>
    </row>
    <row r="115" spans="1:19" ht="18" customHeight="1">
      <c r="A115" s="61">
        <f>IF(F115&lt;&gt;"",1+MAX($A$2:A114),"")</f>
        <v>64</v>
      </c>
      <c r="B115" s="75"/>
      <c r="C115" s="52"/>
      <c r="D115" s="47" t="s">
        <v>129</v>
      </c>
      <c r="E115" s="56">
        <f>+ROUNDUP(151.33/4,0)</f>
        <v>38</v>
      </c>
      <c r="F115" s="55">
        <v>0.05</v>
      </c>
      <c r="G115" s="56">
        <f t="shared" si="172"/>
        <v>39.9</v>
      </c>
      <c r="H115" s="54" t="s">
        <v>55</v>
      </c>
      <c r="I115" s="125">
        <v>0.6</v>
      </c>
      <c r="J115" s="114">
        <f t="shared" si="166"/>
        <v>23.94</v>
      </c>
      <c r="K115" s="115">
        <f>'LABOR SHEET'!C$15</f>
        <v>53.2</v>
      </c>
      <c r="L115" s="116">
        <f t="shared" si="167"/>
        <v>31.92</v>
      </c>
      <c r="M115" s="116">
        <f t="shared" si="168"/>
        <v>1273.6079999999999</v>
      </c>
      <c r="N115" s="126">
        <v>44.58</v>
      </c>
      <c r="O115" s="116">
        <f t="shared" si="169"/>
        <v>1778.742</v>
      </c>
      <c r="P115" s="116">
        <f t="shared" si="170"/>
        <v>76.5</v>
      </c>
      <c r="Q115" s="150">
        <f t="shared" si="171"/>
        <v>3052.35</v>
      </c>
      <c r="R115" s="143"/>
      <c r="S115" s="143"/>
    </row>
    <row r="116" spans="1:19" ht="18" customHeight="1">
      <c r="A116" s="61">
        <f>IF(F116&lt;&gt;"",1+MAX($A$2:A115),"")</f>
        <v>65</v>
      </c>
      <c r="B116" s="75"/>
      <c r="C116" s="52"/>
      <c r="D116" s="47" t="s">
        <v>130</v>
      </c>
      <c r="E116" s="56">
        <v>151.33000000000001</v>
      </c>
      <c r="F116" s="55">
        <v>0.05</v>
      </c>
      <c r="G116" s="56">
        <f t="shared" ref="G116" si="174">(F116*E116)+E116</f>
        <v>158.8965</v>
      </c>
      <c r="H116" s="54" t="s">
        <v>64</v>
      </c>
      <c r="I116" s="125">
        <v>6.7000000000000004E-2</v>
      </c>
      <c r="J116" s="114">
        <f t="shared" si="166"/>
        <v>10.646065500000001</v>
      </c>
      <c r="K116" s="115">
        <f>'LABOR SHEET'!C$15</f>
        <v>53.2</v>
      </c>
      <c r="L116" s="116">
        <f t="shared" si="167"/>
        <v>3.5644</v>
      </c>
      <c r="M116" s="116">
        <f t="shared" si="168"/>
        <v>566.3706846</v>
      </c>
      <c r="N116" s="126">
        <v>5.8</v>
      </c>
      <c r="O116" s="116">
        <f t="shared" si="169"/>
        <v>921.59969999999998</v>
      </c>
      <c r="P116" s="116">
        <f t="shared" si="170"/>
        <v>9.3643999999999998</v>
      </c>
      <c r="Q116" s="150">
        <f t="shared" si="171"/>
        <v>1487.9703846</v>
      </c>
      <c r="R116" s="143"/>
      <c r="S116" s="143"/>
    </row>
    <row r="117" spans="1:19" ht="18" customHeight="1">
      <c r="A117" s="61">
        <f>IF(F117&lt;&gt;"",1+MAX($A$2:A116),"")</f>
        <v>66</v>
      </c>
      <c r="B117" s="75"/>
      <c r="C117" s="52"/>
      <c r="D117" s="47" t="s">
        <v>131</v>
      </c>
      <c r="E117" s="56">
        <f>6*9</f>
        <v>54</v>
      </c>
      <c r="F117" s="55">
        <v>0.05</v>
      </c>
      <c r="G117" s="56">
        <f t="shared" ref="G117" si="175">(F117*E117)+E117</f>
        <v>56.7</v>
      </c>
      <c r="H117" s="54" t="s">
        <v>64</v>
      </c>
      <c r="I117" s="125">
        <v>0.06</v>
      </c>
      <c r="J117" s="114">
        <f t="shared" si="166"/>
        <v>3.4020000000000001</v>
      </c>
      <c r="K117" s="115">
        <f>'LABOR SHEET'!C$15</f>
        <v>53.2</v>
      </c>
      <c r="L117" s="116">
        <f t="shared" si="167"/>
        <v>3.1920000000000002</v>
      </c>
      <c r="M117" s="116">
        <f t="shared" si="168"/>
        <v>180.9864</v>
      </c>
      <c r="N117" s="126">
        <v>3.8</v>
      </c>
      <c r="O117" s="116">
        <f t="shared" si="169"/>
        <v>215.46</v>
      </c>
      <c r="P117" s="116">
        <f t="shared" si="170"/>
        <v>6.992</v>
      </c>
      <c r="Q117" s="150">
        <f t="shared" si="171"/>
        <v>396.44639999999998</v>
      </c>
      <c r="R117" s="143"/>
      <c r="S117" s="143"/>
    </row>
    <row r="118" spans="1:19" ht="18" customHeight="1">
      <c r="A118" s="61">
        <f>IF(F118&lt;&gt;"",1+MAX($A$2:A117),"")</f>
        <v>67</v>
      </c>
      <c r="B118" s="75"/>
      <c r="C118" s="52"/>
      <c r="D118" s="47" t="s">
        <v>132</v>
      </c>
      <c r="E118" s="56">
        <v>6</v>
      </c>
      <c r="F118" s="55">
        <v>0</v>
      </c>
      <c r="G118" s="56">
        <f t="shared" ref="G118" si="176">(F118*E118)+E118</f>
        <v>6</v>
      </c>
      <c r="H118" s="54" t="s">
        <v>55</v>
      </c>
      <c r="I118" s="125">
        <v>0.6</v>
      </c>
      <c r="J118" s="114">
        <f t="shared" si="166"/>
        <v>3.6</v>
      </c>
      <c r="K118" s="115">
        <f>'LABOR SHEET'!C$15</f>
        <v>53.2</v>
      </c>
      <c r="L118" s="116">
        <f t="shared" si="167"/>
        <v>31.92</v>
      </c>
      <c r="M118" s="116">
        <f t="shared" si="168"/>
        <v>191.52</v>
      </c>
      <c r="N118" s="126">
        <v>43.13</v>
      </c>
      <c r="O118" s="116">
        <f t="shared" si="169"/>
        <v>258.77999999999997</v>
      </c>
      <c r="P118" s="116">
        <f t="shared" si="170"/>
        <v>75.05</v>
      </c>
      <c r="Q118" s="150">
        <f t="shared" si="171"/>
        <v>450.3</v>
      </c>
      <c r="R118" s="143"/>
      <c r="S118" s="143"/>
    </row>
    <row r="119" spans="1:19" ht="18" customHeight="1">
      <c r="A119" s="61" t="str">
        <f>IF(F119&lt;&gt;"",1+MAX($A$2:A118),"")</f>
        <v/>
      </c>
      <c r="B119" s="75"/>
      <c r="C119" s="52"/>
      <c r="D119" s="47"/>
      <c r="E119" s="56"/>
      <c r="F119" s="55"/>
      <c r="G119" s="56"/>
      <c r="H119" s="54"/>
      <c r="I119" s="125"/>
      <c r="J119" s="114"/>
      <c r="K119" s="115"/>
      <c r="L119" s="116"/>
      <c r="M119" s="116"/>
      <c r="N119" s="126"/>
      <c r="O119" s="116"/>
      <c r="P119" s="116"/>
      <c r="Q119" s="150"/>
      <c r="R119" s="143"/>
      <c r="S119" s="143"/>
    </row>
    <row r="120" spans="1:19" ht="18" customHeight="1">
      <c r="A120" s="61" t="str">
        <f>IF(F120&lt;&gt;"",1+MAX($A$2:A119),"")</f>
        <v/>
      </c>
      <c r="B120" s="75"/>
      <c r="C120" s="52"/>
      <c r="D120" s="160" t="s">
        <v>133</v>
      </c>
      <c r="E120" s="56"/>
      <c r="F120" s="55"/>
      <c r="G120" s="56"/>
      <c r="H120" s="54"/>
      <c r="I120" s="125"/>
      <c r="J120" s="114"/>
      <c r="K120" s="115"/>
      <c r="L120" s="116"/>
      <c r="M120" s="116"/>
      <c r="N120" s="126"/>
      <c r="O120" s="116"/>
      <c r="P120" s="116"/>
      <c r="Q120" s="150"/>
      <c r="R120" s="143"/>
      <c r="S120" s="143"/>
    </row>
    <row r="121" spans="1:19" ht="18" customHeight="1">
      <c r="A121" s="61">
        <f>IF(F121&lt;&gt;"",1+MAX($A$2:A120),"")</f>
        <v>68</v>
      </c>
      <c r="B121" s="75"/>
      <c r="C121" s="52"/>
      <c r="D121" s="47" t="s">
        <v>134</v>
      </c>
      <c r="E121" s="56">
        <f>135*2</f>
        <v>270</v>
      </c>
      <c r="F121" s="55">
        <v>0.05</v>
      </c>
      <c r="G121" s="56">
        <f t="shared" ref="G121" si="177">(F121*E121)+E121</f>
        <v>283.5</v>
      </c>
      <c r="H121" s="54" t="s">
        <v>64</v>
      </c>
      <c r="I121" s="125">
        <v>0.03</v>
      </c>
      <c r="J121" s="114">
        <f t="shared" ref="J121" si="178">+I121*G121</f>
        <v>8.5050000000000008</v>
      </c>
      <c r="K121" s="115">
        <f>'LABOR SHEET'!C$15</f>
        <v>53.2</v>
      </c>
      <c r="L121" s="116">
        <f t="shared" ref="L121" si="179">I121*K121</f>
        <v>1.5960000000000001</v>
      </c>
      <c r="M121" s="116">
        <f t="shared" ref="M121" si="180">K121*J121</f>
        <v>452.46600000000001</v>
      </c>
      <c r="N121" s="126">
        <v>1.8</v>
      </c>
      <c r="O121" s="116">
        <f t="shared" ref="O121" si="181">N121*G121</f>
        <v>510.3</v>
      </c>
      <c r="P121" s="116">
        <f t="shared" ref="P121" si="182">(I121*K121)+N121</f>
        <v>3.3959999999999999</v>
      </c>
      <c r="Q121" s="150">
        <f t="shared" ref="Q121" si="183">P121*G121</f>
        <v>962.76599999999996</v>
      </c>
      <c r="R121" s="143"/>
      <c r="S121" s="143"/>
    </row>
    <row r="122" spans="1:19" ht="18" customHeight="1">
      <c r="A122" s="61" t="str">
        <f>IF(F122&lt;&gt;"",1+MAX($A$2:A121),"")</f>
        <v/>
      </c>
      <c r="B122" s="75"/>
      <c r="C122" s="52"/>
      <c r="D122" s="47"/>
      <c r="E122" s="56"/>
      <c r="F122" s="55"/>
      <c r="G122" s="56"/>
      <c r="H122" s="54"/>
      <c r="I122" s="113"/>
      <c r="J122" s="114"/>
      <c r="K122" s="115"/>
      <c r="L122" s="116"/>
      <c r="M122" s="116"/>
      <c r="N122" s="116"/>
      <c r="O122" s="116"/>
      <c r="P122" s="116"/>
      <c r="Q122" s="149"/>
      <c r="R122" s="143"/>
      <c r="S122" s="143"/>
    </row>
    <row r="123" spans="1:19" s="26" customFormat="1">
      <c r="A123" s="107" t="str">
        <f>IF(F123&lt;&gt;"",1+MAX($A$2:A122),"")</f>
        <v/>
      </c>
      <c r="B123" s="71"/>
      <c r="C123" s="66"/>
      <c r="D123" s="67" t="s">
        <v>51</v>
      </c>
      <c r="E123" s="68"/>
      <c r="F123" s="68"/>
      <c r="G123" s="68"/>
      <c r="H123" s="68"/>
      <c r="I123" s="68"/>
      <c r="J123" s="131"/>
      <c r="K123" s="131"/>
      <c r="L123" s="132"/>
      <c r="M123" s="133"/>
      <c r="N123" s="132"/>
      <c r="O123" s="121"/>
      <c r="P123" s="121"/>
      <c r="Q123" s="144">
        <f>SUM(Q96:Q121)</f>
        <v>25426.152304376999</v>
      </c>
      <c r="R123" s="145"/>
    </row>
    <row r="124" spans="1:19" ht="18" customHeight="1">
      <c r="A124" s="91" t="str">
        <f>IF(F124&lt;&gt;"",1+MAX($A$2:A123),"")</f>
        <v/>
      </c>
      <c r="B124" s="92"/>
      <c r="C124" s="92"/>
      <c r="D124" s="92"/>
      <c r="E124" s="93"/>
      <c r="F124" s="94"/>
      <c r="G124" s="93"/>
      <c r="H124" s="95"/>
      <c r="I124" s="134"/>
      <c r="J124" s="93"/>
      <c r="K124" s="135"/>
      <c r="L124" s="135"/>
      <c r="M124" s="135"/>
      <c r="N124" s="135"/>
      <c r="O124" s="135"/>
      <c r="P124" s="135"/>
      <c r="Q124" s="152"/>
      <c r="R124" s="143"/>
      <c r="S124" s="143"/>
    </row>
    <row r="125" spans="1:19" s="28" customFormat="1">
      <c r="A125" s="41" t="str">
        <f>IF(F125&lt;&gt;"",1+MAX($A$2:A124),"")</f>
        <v/>
      </c>
      <c r="B125" s="42"/>
      <c r="C125" s="43">
        <v>8</v>
      </c>
      <c r="D125" s="70" t="s">
        <v>135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147"/>
      <c r="S125" s="148"/>
    </row>
    <row r="126" spans="1:19" ht="18" customHeight="1">
      <c r="A126" s="107" t="str">
        <f>IF(F126&lt;&gt;"",1+MAX($A$2:A125),"")</f>
        <v/>
      </c>
      <c r="B126" s="71"/>
      <c r="C126" s="66"/>
      <c r="D126" s="111" t="s">
        <v>136</v>
      </c>
      <c r="E126" s="73"/>
      <c r="F126" s="74"/>
      <c r="G126" s="56"/>
      <c r="H126" s="56"/>
      <c r="I126" s="122"/>
      <c r="J126" s="56"/>
      <c r="K126" s="123"/>
      <c r="L126" s="123"/>
      <c r="M126" s="123"/>
      <c r="N126" s="123"/>
      <c r="O126" s="123"/>
      <c r="P126" s="123"/>
      <c r="Q126" s="149"/>
      <c r="R126" s="143"/>
      <c r="S126" s="143"/>
    </row>
    <row r="127" spans="1:19">
      <c r="A127" s="61">
        <f>IF(F127&lt;&gt;"",1+MAX($A$2:A126),"")</f>
        <v>69</v>
      </c>
      <c r="B127" s="105"/>
      <c r="C127" s="52"/>
      <c r="D127" s="47" t="s">
        <v>137</v>
      </c>
      <c r="E127" s="56">
        <v>1</v>
      </c>
      <c r="F127" s="55">
        <v>0</v>
      </c>
      <c r="G127" s="56">
        <f>(F127*E127)+E127</f>
        <v>1</v>
      </c>
      <c r="H127" s="56" t="s">
        <v>55</v>
      </c>
      <c r="I127" s="125">
        <f>0.22*10*7</f>
        <v>15.4</v>
      </c>
      <c r="J127" s="114">
        <f t="shared" ref="J127" si="184">+I127*G127</f>
        <v>15.4</v>
      </c>
      <c r="K127" s="115">
        <f>'LABOR SHEET'!C$3</f>
        <v>79.3</v>
      </c>
      <c r="L127" s="116">
        <f t="shared" ref="L127" si="185">I127*K127</f>
        <v>1221.22</v>
      </c>
      <c r="M127" s="116">
        <f t="shared" ref="M127" si="186">K127*J127</f>
        <v>1221.22</v>
      </c>
      <c r="N127" s="126">
        <f>48*10*7</f>
        <v>3360</v>
      </c>
      <c r="O127" s="116">
        <f t="shared" ref="O127" si="187">N127*G127</f>
        <v>3360</v>
      </c>
      <c r="P127" s="116">
        <f t="shared" ref="P127" si="188">(I127*K127)+N127</f>
        <v>4581.22</v>
      </c>
      <c r="Q127" s="150">
        <f t="shared" ref="Q127" si="189">P127*G127</f>
        <v>4581.22</v>
      </c>
      <c r="R127" s="143"/>
      <c r="S127" s="143"/>
    </row>
    <row r="128" spans="1:19">
      <c r="A128" s="61">
        <f>IF(F128&lt;&gt;"",1+MAX($A$2:A127),"")</f>
        <v>70</v>
      </c>
      <c r="B128" s="75"/>
      <c r="C128" s="52"/>
      <c r="D128" s="47" t="s">
        <v>138</v>
      </c>
      <c r="E128" s="56">
        <v>1</v>
      </c>
      <c r="F128" s="55">
        <v>0</v>
      </c>
      <c r="G128" s="56">
        <f>(F128*E128)+E128</f>
        <v>1</v>
      </c>
      <c r="H128" s="56" t="s">
        <v>55</v>
      </c>
      <c r="I128" s="125">
        <f>0.18*3*7</f>
        <v>3.78</v>
      </c>
      <c r="J128" s="114">
        <f t="shared" ref="J128:J130" si="190">+I128*G128</f>
        <v>3.78</v>
      </c>
      <c r="K128" s="115">
        <f>'LABOR SHEET'!C$3</f>
        <v>79.3</v>
      </c>
      <c r="L128" s="116">
        <f t="shared" ref="L128:L130" si="191">I128*K128</f>
        <v>299.75400000000002</v>
      </c>
      <c r="M128" s="116">
        <f t="shared" ref="M128:M130" si="192">K128*J128</f>
        <v>299.75400000000002</v>
      </c>
      <c r="N128" s="126">
        <f>38*3*7</f>
        <v>798</v>
      </c>
      <c r="O128" s="116">
        <f t="shared" ref="O128:O130" si="193">N128*G128</f>
        <v>798</v>
      </c>
      <c r="P128" s="116">
        <f t="shared" ref="P128:P130" si="194">(I128*K128)+N128</f>
        <v>1097.7539999999999</v>
      </c>
      <c r="Q128" s="150">
        <f t="shared" ref="Q128:Q130" si="195">P128*G128</f>
        <v>1097.7539999999999</v>
      </c>
      <c r="R128" s="143"/>
      <c r="S128" s="143"/>
    </row>
    <row r="129" spans="1:19">
      <c r="A129" s="61">
        <f>IF(F129&lt;&gt;"",1+MAX($A$2:A128),"")</f>
        <v>71</v>
      </c>
      <c r="B129" s="75"/>
      <c r="C129" s="52"/>
      <c r="D129" s="47" t="s">
        <v>139</v>
      </c>
      <c r="E129" s="56">
        <v>1</v>
      </c>
      <c r="F129" s="55">
        <v>0</v>
      </c>
      <c r="G129" s="56">
        <f>(F129*E129)+E129</f>
        <v>1</v>
      </c>
      <c r="H129" s="56" t="s">
        <v>55</v>
      </c>
      <c r="I129" s="125">
        <f>0.205*3*7</f>
        <v>4.3049999999999997</v>
      </c>
      <c r="J129" s="114">
        <f t="shared" si="190"/>
        <v>4.3049999999999997</v>
      </c>
      <c r="K129" s="115">
        <f>'LABOR SHEET'!C$3</f>
        <v>79.3</v>
      </c>
      <c r="L129" s="116">
        <f t="shared" si="191"/>
        <v>341.38650000000001</v>
      </c>
      <c r="M129" s="116">
        <f t="shared" si="192"/>
        <v>341.38650000000001</v>
      </c>
      <c r="N129" s="126">
        <f>45*3*7</f>
        <v>945</v>
      </c>
      <c r="O129" s="116">
        <f t="shared" si="193"/>
        <v>945</v>
      </c>
      <c r="P129" s="116">
        <f t="shared" si="194"/>
        <v>1286.3865000000001</v>
      </c>
      <c r="Q129" s="150">
        <f t="shared" si="195"/>
        <v>1286.3865000000001</v>
      </c>
      <c r="R129" s="143"/>
      <c r="S129" s="143"/>
    </row>
    <row r="130" spans="1:19">
      <c r="A130" s="61">
        <f>IF(F130&lt;&gt;"",1+MAX($A$2:A129),"")</f>
        <v>72</v>
      </c>
      <c r="B130" s="75"/>
      <c r="C130" s="52"/>
      <c r="D130" s="47" t="s">
        <v>140</v>
      </c>
      <c r="E130" s="56">
        <v>2</v>
      </c>
      <c r="F130" s="55">
        <v>0</v>
      </c>
      <c r="G130" s="56">
        <f>(F130*E130)+E130</f>
        <v>2</v>
      </c>
      <c r="H130" s="56" t="s">
        <v>55</v>
      </c>
      <c r="I130" s="125">
        <f>0.18*3*7</f>
        <v>3.78</v>
      </c>
      <c r="J130" s="114">
        <f t="shared" si="190"/>
        <v>7.56</v>
      </c>
      <c r="K130" s="115">
        <f>'LABOR SHEET'!C$3</f>
        <v>79.3</v>
      </c>
      <c r="L130" s="116">
        <f t="shared" si="191"/>
        <v>299.75400000000002</v>
      </c>
      <c r="M130" s="116">
        <f t="shared" si="192"/>
        <v>599.50800000000004</v>
      </c>
      <c r="N130" s="126">
        <f>38*3*7</f>
        <v>798</v>
      </c>
      <c r="O130" s="116">
        <f t="shared" si="193"/>
        <v>1596</v>
      </c>
      <c r="P130" s="116">
        <f t="shared" si="194"/>
        <v>1097.7539999999999</v>
      </c>
      <c r="Q130" s="150">
        <f t="shared" si="195"/>
        <v>2195.5079999999998</v>
      </c>
      <c r="R130" s="143"/>
      <c r="S130" s="143"/>
    </row>
    <row r="131" spans="1:19">
      <c r="A131" s="61" t="str">
        <f>IF(F131&lt;&gt;"",1+MAX($A$2:A130),"")</f>
        <v/>
      </c>
      <c r="B131" s="75"/>
      <c r="C131" s="52"/>
      <c r="D131" s="47"/>
      <c r="E131" s="56"/>
      <c r="F131" s="55"/>
      <c r="G131" s="56"/>
      <c r="H131" s="56"/>
      <c r="I131" s="125"/>
      <c r="J131" s="114"/>
      <c r="K131" s="115"/>
      <c r="L131" s="116"/>
      <c r="M131" s="116"/>
      <c r="N131" s="126"/>
      <c r="O131" s="116"/>
      <c r="P131" s="116"/>
      <c r="Q131" s="150"/>
      <c r="R131" s="143"/>
      <c r="S131" s="143"/>
    </row>
    <row r="132" spans="1:19">
      <c r="A132" s="61" t="str">
        <f>IF(F132&lt;&gt;"",1+MAX($A$2:A131),"")</f>
        <v/>
      </c>
      <c r="B132" s="105"/>
      <c r="C132" s="52"/>
      <c r="D132" s="160" t="s">
        <v>141</v>
      </c>
      <c r="E132" s="56"/>
      <c r="F132" s="55"/>
      <c r="G132" s="56"/>
      <c r="H132" s="56"/>
      <c r="I132" s="125"/>
      <c r="J132" s="114"/>
      <c r="K132" s="115"/>
      <c r="L132" s="116"/>
      <c r="M132" s="116"/>
      <c r="N132" s="126"/>
      <c r="O132" s="116"/>
      <c r="P132" s="116"/>
      <c r="Q132" s="150"/>
      <c r="R132" s="143"/>
      <c r="S132" s="143"/>
    </row>
    <row r="133" spans="1:19">
      <c r="A133" s="61">
        <f>IF(F133&lt;&gt;"",1+MAX($A$2:A132),"")</f>
        <v>73</v>
      </c>
      <c r="B133" s="105"/>
      <c r="C133" s="52"/>
      <c r="D133" s="47" t="s">
        <v>142</v>
      </c>
      <c r="E133" s="56">
        <v>3</v>
      </c>
      <c r="F133" s="55">
        <v>0</v>
      </c>
      <c r="G133" s="56">
        <f t="shared" ref="G133:G137" si="196">(F133*E133)+E133</f>
        <v>3</v>
      </c>
      <c r="H133" s="56" t="s">
        <v>55</v>
      </c>
      <c r="I133" s="125">
        <v>0.35</v>
      </c>
      <c r="J133" s="114">
        <f t="shared" ref="J133:J137" si="197">+I133*G133</f>
        <v>1.05</v>
      </c>
      <c r="K133" s="115">
        <f>'LABOR SHEET'!C$3</f>
        <v>79.3</v>
      </c>
      <c r="L133" s="116">
        <f t="shared" ref="L133:L137" si="198">I133*K133</f>
        <v>27.754999999999999</v>
      </c>
      <c r="M133" s="116">
        <f t="shared" ref="M133:M137" si="199">K133*J133</f>
        <v>83.265000000000001</v>
      </c>
      <c r="N133" s="126">
        <v>142.02000000000001</v>
      </c>
      <c r="O133" s="116">
        <f t="shared" ref="O133:O137" si="200">N133*G133</f>
        <v>426.06</v>
      </c>
      <c r="P133" s="116">
        <f t="shared" ref="P133:P137" si="201">(I133*K133)+N133</f>
        <v>169.77500000000001</v>
      </c>
      <c r="Q133" s="150">
        <f t="shared" ref="Q133:Q137" si="202">P133*G133</f>
        <v>509.32499999999999</v>
      </c>
      <c r="R133" s="143"/>
      <c r="S133" s="143"/>
    </row>
    <row r="134" spans="1:19">
      <c r="A134" s="61">
        <f>IF(F134&lt;&gt;"",1+MAX($A$2:A133),"")</f>
        <v>74</v>
      </c>
      <c r="B134" s="75"/>
      <c r="C134" s="52"/>
      <c r="D134" s="47" t="s">
        <v>143</v>
      </c>
      <c r="E134" s="56">
        <v>2</v>
      </c>
      <c r="F134" s="55">
        <v>0</v>
      </c>
      <c r="G134" s="56">
        <f t="shared" si="196"/>
        <v>2</v>
      </c>
      <c r="H134" s="56" t="s">
        <v>55</v>
      </c>
      <c r="I134" s="125">
        <v>0.25</v>
      </c>
      <c r="J134" s="114">
        <f t="shared" si="197"/>
        <v>0.5</v>
      </c>
      <c r="K134" s="115">
        <f>'LABOR SHEET'!C$3</f>
        <v>79.3</v>
      </c>
      <c r="L134" s="116">
        <f t="shared" si="198"/>
        <v>19.824999999999999</v>
      </c>
      <c r="M134" s="116">
        <f t="shared" si="199"/>
        <v>39.65</v>
      </c>
      <c r="N134" s="126">
        <v>46.48</v>
      </c>
      <c r="O134" s="116">
        <f t="shared" si="200"/>
        <v>92.96</v>
      </c>
      <c r="P134" s="116">
        <f t="shared" si="201"/>
        <v>66.305000000000007</v>
      </c>
      <c r="Q134" s="150">
        <f t="shared" si="202"/>
        <v>132.61000000000001</v>
      </c>
      <c r="R134" s="143"/>
      <c r="S134" s="143"/>
    </row>
    <row r="135" spans="1:19">
      <c r="A135" s="61">
        <f>IF(F135&lt;&gt;"",1+MAX($A$2:A134),"")</f>
        <v>75</v>
      </c>
      <c r="B135" s="75"/>
      <c r="C135" s="52"/>
      <c r="D135" s="47" t="s">
        <v>144</v>
      </c>
      <c r="E135" s="56">
        <v>1</v>
      </c>
      <c r="F135" s="55">
        <v>0</v>
      </c>
      <c r="G135" s="56">
        <f t="shared" si="196"/>
        <v>1</v>
      </c>
      <c r="H135" s="56" t="s">
        <v>55</v>
      </c>
      <c r="I135" s="125">
        <v>0.5</v>
      </c>
      <c r="J135" s="114">
        <f t="shared" si="197"/>
        <v>0.5</v>
      </c>
      <c r="K135" s="115">
        <f>'LABOR SHEET'!C$3</f>
        <v>79.3</v>
      </c>
      <c r="L135" s="116">
        <f t="shared" si="198"/>
        <v>39.65</v>
      </c>
      <c r="M135" s="116">
        <f t="shared" si="199"/>
        <v>39.65</v>
      </c>
      <c r="N135" s="126">
        <v>79.290000000000006</v>
      </c>
      <c r="O135" s="116">
        <f t="shared" si="200"/>
        <v>79.290000000000006</v>
      </c>
      <c r="P135" s="116">
        <f t="shared" si="201"/>
        <v>118.94</v>
      </c>
      <c r="Q135" s="150">
        <f t="shared" si="202"/>
        <v>118.94</v>
      </c>
      <c r="R135" s="143"/>
      <c r="S135" s="143"/>
    </row>
    <row r="136" spans="1:19">
      <c r="A136" s="61">
        <f>IF(F136&lt;&gt;"",1+MAX($A$2:A135),"")</f>
        <v>76</v>
      </c>
      <c r="B136" s="75"/>
      <c r="C136" s="52"/>
      <c r="D136" s="47" t="s">
        <v>145</v>
      </c>
      <c r="E136" s="56">
        <v>1</v>
      </c>
      <c r="F136" s="55">
        <v>0</v>
      </c>
      <c r="G136" s="56">
        <f t="shared" si="196"/>
        <v>1</v>
      </c>
      <c r="H136" s="56" t="s">
        <v>55</v>
      </c>
      <c r="I136" s="125">
        <v>0.6</v>
      </c>
      <c r="J136" s="114">
        <f t="shared" si="197"/>
        <v>0.6</v>
      </c>
      <c r="K136" s="115">
        <f>'LABOR SHEET'!C$3</f>
        <v>79.3</v>
      </c>
      <c r="L136" s="116">
        <f t="shared" si="198"/>
        <v>47.58</v>
      </c>
      <c r="M136" s="116">
        <f t="shared" si="199"/>
        <v>47.58</v>
      </c>
      <c r="N136" s="126">
        <v>149.47</v>
      </c>
      <c r="O136" s="116">
        <f t="shared" si="200"/>
        <v>149.47</v>
      </c>
      <c r="P136" s="116">
        <f t="shared" si="201"/>
        <v>197.05</v>
      </c>
      <c r="Q136" s="150">
        <f t="shared" si="202"/>
        <v>197.05</v>
      </c>
      <c r="R136" s="143"/>
      <c r="S136" s="143"/>
    </row>
    <row r="137" spans="1:19">
      <c r="A137" s="61">
        <f>IF(F137&lt;&gt;"",1+MAX($A$2:A136),"")</f>
        <v>77</v>
      </c>
      <c r="B137" s="75"/>
      <c r="C137" s="52"/>
      <c r="D137" s="47" t="s">
        <v>146</v>
      </c>
      <c r="E137" s="56">
        <v>3</v>
      </c>
      <c r="F137" s="55">
        <v>0</v>
      </c>
      <c r="G137" s="56">
        <f t="shared" si="196"/>
        <v>3</v>
      </c>
      <c r="H137" s="56" t="s">
        <v>55</v>
      </c>
      <c r="I137" s="125">
        <v>1</v>
      </c>
      <c r="J137" s="114">
        <f t="shared" si="197"/>
        <v>3</v>
      </c>
      <c r="K137" s="115">
        <f>'LABOR SHEET'!C$3</f>
        <v>79.3</v>
      </c>
      <c r="L137" s="116">
        <f t="shared" si="198"/>
        <v>79.3</v>
      </c>
      <c r="M137" s="116">
        <f t="shared" si="199"/>
        <v>237.9</v>
      </c>
      <c r="N137" s="126">
        <v>252.7</v>
      </c>
      <c r="O137" s="116">
        <f t="shared" si="200"/>
        <v>758.1</v>
      </c>
      <c r="P137" s="116">
        <f t="shared" si="201"/>
        <v>332</v>
      </c>
      <c r="Q137" s="150">
        <f t="shared" si="202"/>
        <v>996</v>
      </c>
      <c r="R137" s="143"/>
      <c r="S137" s="143"/>
    </row>
    <row r="138" spans="1:19">
      <c r="A138" s="61" t="str">
        <f>IF(F138&lt;&gt;"",1+MAX($A$2:A137),"")</f>
        <v/>
      </c>
      <c r="B138" s="75"/>
      <c r="C138" s="62"/>
      <c r="D138" s="47"/>
      <c r="E138" s="84"/>
      <c r="F138" s="55"/>
      <c r="G138" s="56"/>
      <c r="H138" s="56"/>
      <c r="I138" s="125"/>
      <c r="J138" s="114"/>
      <c r="K138" s="115"/>
      <c r="L138" s="116"/>
      <c r="M138" s="116"/>
      <c r="N138" s="126"/>
      <c r="O138" s="116"/>
      <c r="P138" s="116"/>
      <c r="Q138" s="149"/>
      <c r="R138" s="143"/>
      <c r="S138" s="143"/>
    </row>
    <row r="139" spans="1:19" ht="18" customHeight="1">
      <c r="A139" s="107" t="str">
        <f>IF(F139&lt;&gt;"",1+MAX($A$2:A138),"")</f>
        <v/>
      </c>
      <c r="B139" s="71"/>
      <c r="C139" s="66"/>
      <c r="D139" s="111" t="s">
        <v>147</v>
      </c>
      <c r="E139" s="73"/>
      <c r="F139" s="74"/>
      <c r="G139" s="56"/>
      <c r="H139" s="56"/>
      <c r="I139" s="128"/>
      <c r="J139" s="124"/>
      <c r="K139" s="124"/>
      <c r="L139" s="124"/>
      <c r="M139" s="124"/>
      <c r="N139" s="128"/>
      <c r="O139" s="124"/>
      <c r="P139" s="124"/>
      <c r="Q139" s="149"/>
      <c r="R139" s="143"/>
      <c r="S139" s="143"/>
    </row>
    <row r="140" spans="1:19">
      <c r="A140" s="61">
        <f>IF(F140&lt;&gt;"",1+MAX($A$2:A139),"")</f>
        <v>78</v>
      </c>
      <c r="B140" s="75"/>
      <c r="C140" s="52"/>
      <c r="D140" s="47" t="s">
        <v>148</v>
      </c>
      <c r="E140" s="48">
        <v>6</v>
      </c>
      <c r="F140" s="55">
        <v>0</v>
      </c>
      <c r="G140" s="56">
        <f t="shared" ref="G140:G141" si="203">(F140*E140)+E140</f>
        <v>6</v>
      </c>
      <c r="H140" s="56" t="s">
        <v>55</v>
      </c>
      <c r="I140" s="125">
        <f>0.22*2*4</f>
        <v>1.76</v>
      </c>
      <c r="J140" s="114">
        <f t="shared" ref="J140:J141" si="204">+I140*G140</f>
        <v>10.56</v>
      </c>
      <c r="K140" s="115">
        <f>'LABOR SHEET'!C$3</f>
        <v>79.3</v>
      </c>
      <c r="L140" s="116">
        <f t="shared" ref="L140:L141" si="205">I140*K140</f>
        <v>139.56800000000001</v>
      </c>
      <c r="M140" s="116">
        <f t="shared" ref="M140:M141" si="206">K140*J140</f>
        <v>837.40800000000002</v>
      </c>
      <c r="N140" s="126">
        <f>50*2*4</f>
        <v>400</v>
      </c>
      <c r="O140" s="116">
        <f t="shared" ref="O140:O141" si="207">N140*G140</f>
        <v>2400</v>
      </c>
      <c r="P140" s="116">
        <f t="shared" ref="P140:P141" si="208">(I140*K140)+N140</f>
        <v>539.56799999999998</v>
      </c>
      <c r="Q140" s="150">
        <f t="shared" ref="Q140:Q141" si="209">P140*G140</f>
        <v>3237.4079999999999</v>
      </c>
      <c r="R140" s="143"/>
      <c r="S140" s="143"/>
    </row>
    <row r="141" spans="1:19">
      <c r="A141" s="61">
        <f>IF(F141&lt;&gt;"",1+MAX($A$2:A140),"")</f>
        <v>79</v>
      </c>
      <c r="B141" s="75"/>
      <c r="C141" s="52"/>
      <c r="D141" s="47" t="s">
        <v>149</v>
      </c>
      <c r="E141" s="54">
        <v>2</v>
      </c>
      <c r="F141" s="55">
        <v>0</v>
      </c>
      <c r="G141" s="56">
        <f t="shared" si="203"/>
        <v>2</v>
      </c>
      <c r="H141" s="56" t="s">
        <v>55</v>
      </c>
      <c r="I141" s="125">
        <f>0.22*5*4</f>
        <v>4.4000000000000004</v>
      </c>
      <c r="J141" s="114">
        <f t="shared" si="204"/>
        <v>8.8000000000000007</v>
      </c>
      <c r="K141" s="115">
        <f>'LABOR SHEET'!C$3</f>
        <v>79.3</v>
      </c>
      <c r="L141" s="116">
        <f t="shared" si="205"/>
        <v>348.92</v>
      </c>
      <c r="M141" s="116">
        <f t="shared" si="206"/>
        <v>697.84</v>
      </c>
      <c r="N141" s="126">
        <f>50*5*4</f>
        <v>1000</v>
      </c>
      <c r="O141" s="116">
        <f t="shared" si="207"/>
        <v>2000</v>
      </c>
      <c r="P141" s="116">
        <f t="shared" si="208"/>
        <v>1348.92</v>
      </c>
      <c r="Q141" s="150">
        <f t="shared" si="209"/>
        <v>2697.84</v>
      </c>
      <c r="R141" s="143"/>
      <c r="S141" s="143"/>
    </row>
    <row r="142" spans="1:19">
      <c r="A142" s="51" t="str">
        <f>IF(F142&lt;&gt;"",1+MAX($A$2:A141),"")</f>
        <v/>
      </c>
      <c r="B142" s="75"/>
      <c r="C142" s="105"/>
      <c r="D142" s="53"/>
      <c r="E142" s="54"/>
      <c r="F142" s="55"/>
      <c r="G142" s="56"/>
      <c r="H142" s="56"/>
      <c r="I142" s="175"/>
      <c r="J142" s="175"/>
      <c r="K142" s="124"/>
      <c r="L142" s="124"/>
      <c r="M142" s="124"/>
      <c r="N142" s="124"/>
      <c r="O142" s="124"/>
      <c r="P142" s="124"/>
      <c r="Q142" s="149"/>
      <c r="R142" s="143"/>
      <c r="S142" s="143"/>
    </row>
    <row r="143" spans="1:19" s="26" customFormat="1">
      <c r="A143" s="107" t="str">
        <f>IF(F143&lt;&gt;"",1+MAX($A$2:A142),"")</f>
        <v/>
      </c>
      <c r="B143" s="71"/>
      <c r="C143" s="66"/>
      <c r="D143" s="67" t="s">
        <v>51</v>
      </c>
      <c r="E143" s="68"/>
      <c r="F143" s="68"/>
      <c r="G143" s="68"/>
      <c r="H143" s="68"/>
      <c r="I143" s="68"/>
      <c r="J143" s="131"/>
      <c r="K143" s="131"/>
      <c r="L143" s="132"/>
      <c r="M143" s="133"/>
      <c r="N143" s="132"/>
      <c r="O143" s="121"/>
      <c r="P143" s="121"/>
      <c r="Q143" s="144">
        <f>SUM(Q127:Q142)</f>
        <v>17050.041499999999</v>
      </c>
      <c r="R143" s="145"/>
    </row>
    <row r="144" spans="1:19" ht="18" customHeight="1">
      <c r="A144" s="91" t="str">
        <f>IF(F144&lt;&gt;"",1+MAX($A$2:A143),"")</f>
        <v/>
      </c>
      <c r="B144" s="92"/>
      <c r="C144" s="92"/>
      <c r="D144" s="92"/>
      <c r="E144" s="93"/>
      <c r="F144" s="94"/>
      <c r="G144" s="93"/>
      <c r="H144" s="95"/>
      <c r="I144" s="134"/>
      <c r="J144" s="93"/>
      <c r="K144" s="135"/>
      <c r="L144" s="135"/>
      <c r="M144" s="135"/>
      <c r="N144" s="135"/>
      <c r="O144" s="135"/>
      <c r="P144" s="135"/>
      <c r="Q144" s="152"/>
      <c r="R144" s="143"/>
      <c r="S144" s="143"/>
    </row>
    <row r="145" spans="1:36" s="29" customFormat="1">
      <c r="A145" s="161" t="str">
        <f>IF(F145&lt;&gt;"",1+MAX($A$2:A144),"")</f>
        <v/>
      </c>
      <c r="B145" s="43"/>
      <c r="C145" s="43">
        <v>9</v>
      </c>
      <c r="D145" s="70" t="s">
        <v>150</v>
      </c>
      <c r="E145" s="43"/>
      <c r="F145" s="43"/>
      <c r="G145" s="43"/>
      <c r="H145" s="43"/>
      <c r="I145" s="43"/>
      <c r="J145" s="43"/>
      <c r="K145" s="43"/>
      <c r="L145" s="43" t="s">
        <v>151</v>
      </c>
      <c r="M145" s="43"/>
      <c r="N145" s="42"/>
      <c r="O145" s="42"/>
      <c r="P145" s="43"/>
      <c r="Q145" s="177"/>
      <c r="S145" s="178"/>
    </row>
    <row r="146" spans="1:36" s="29" customFormat="1" ht="14.65" customHeight="1">
      <c r="A146" s="162" t="str">
        <f>IF(F146&lt;&gt;"",1+MAX($A$2:A145),"")</f>
        <v/>
      </c>
      <c r="B146" s="163"/>
      <c r="C146" s="56"/>
      <c r="D146" s="111" t="s">
        <v>152</v>
      </c>
      <c r="E146" s="164"/>
      <c r="F146" s="164"/>
      <c r="G146" s="164"/>
      <c r="H146" s="164"/>
      <c r="I146" s="113"/>
      <c r="J146" s="104"/>
      <c r="K146" s="104"/>
      <c r="L146" s="116"/>
      <c r="M146" s="116"/>
      <c r="N146" s="116"/>
      <c r="O146" s="116"/>
      <c r="P146" s="116"/>
      <c r="Q146" s="179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  <c r="AH146" s="180"/>
      <c r="AI146" s="180"/>
      <c r="AJ146" s="180"/>
    </row>
    <row r="147" spans="1:36" s="29" customFormat="1">
      <c r="A147" s="162" t="str">
        <f>IF(F147&lt;&gt;"",1+MAX($A$2:A146),"")</f>
        <v/>
      </c>
      <c r="B147" s="165"/>
      <c r="C147" s="56"/>
      <c r="D147" s="166" t="s">
        <v>153</v>
      </c>
      <c r="E147" s="167"/>
      <c r="F147" s="102"/>
      <c r="G147" s="103"/>
      <c r="H147" s="159"/>
      <c r="I147" s="113"/>
      <c r="J147" s="114"/>
      <c r="K147" s="115"/>
      <c r="L147" s="116"/>
      <c r="M147" s="116"/>
      <c r="N147" s="116"/>
      <c r="O147" s="116"/>
      <c r="P147" s="116"/>
      <c r="Q147" s="179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F147" s="180"/>
      <c r="AG147" s="180"/>
      <c r="AH147" s="180"/>
      <c r="AI147" s="180"/>
      <c r="AJ147" s="180"/>
    </row>
    <row r="148" spans="1:36" s="29" customFormat="1" ht="15.75" customHeight="1">
      <c r="A148" s="162" t="str">
        <f>IF(F148&lt;&gt;"",1+MAX($A$2:A147),"")</f>
        <v/>
      </c>
      <c r="B148" s="165"/>
      <c r="C148" s="56"/>
      <c r="D148" s="168" t="s">
        <v>154</v>
      </c>
      <c r="E148" s="169">
        <v>125.31</v>
      </c>
      <c r="F148" s="170"/>
      <c r="G148" s="171"/>
      <c r="H148" s="172" t="s">
        <v>64</v>
      </c>
      <c r="I148" s="113"/>
      <c r="J148" s="114"/>
      <c r="K148" s="115"/>
      <c r="L148" s="116"/>
      <c r="M148" s="116"/>
      <c r="N148" s="116"/>
      <c r="O148" s="116"/>
      <c r="P148" s="116"/>
      <c r="Q148" s="179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180"/>
      <c r="AI148" s="180"/>
      <c r="AJ148" s="180"/>
    </row>
    <row r="149" spans="1:36" s="29" customFormat="1">
      <c r="A149" s="162">
        <f>IF(F149&lt;&gt;"",1+MAX($A$2:A148),"")</f>
        <v>80</v>
      </c>
      <c r="B149" s="165"/>
      <c r="C149" s="56"/>
      <c r="D149" s="173" t="s">
        <v>155</v>
      </c>
      <c r="E149" s="174">
        <f>+E148*9-51.33*9</f>
        <v>665.82</v>
      </c>
      <c r="F149" s="102">
        <v>0.1</v>
      </c>
      <c r="G149" s="103">
        <f t="shared" ref="G149:G166" si="210">E149*(1+F149)</f>
        <v>732.40200000000004</v>
      </c>
      <c r="H149" s="157" t="s">
        <v>61</v>
      </c>
      <c r="I149" s="125">
        <v>1.6E-2</v>
      </c>
      <c r="J149" s="114">
        <f t="shared" ref="J149" si="211">+I149*G149</f>
        <v>11.718432</v>
      </c>
      <c r="K149" s="115">
        <f>'LABOR SHEET'!C$8</f>
        <v>79.3</v>
      </c>
      <c r="L149" s="116">
        <f t="shared" ref="L149" si="212">I149*K149</f>
        <v>1.2687999999999999</v>
      </c>
      <c r="M149" s="116">
        <f t="shared" ref="M149" si="213">K149*J149</f>
        <v>929.27165760000003</v>
      </c>
      <c r="N149" s="126">
        <f>17.78/32</f>
        <v>0.55562500000000004</v>
      </c>
      <c r="O149" s="116">
        <f t="shared" ref="O149" si="214">N149*G149</f>
        <v>406.94086125000001</v>
      </c>
      <c r="P149" s="116">
        <f t="shared" ref="P149" si="215">(I149*K149)+N149</f>
        <v>1.824425</v>
      </c>
      <c r="Q149" s="150">
        <f t="shared" ref="Q149" si="216">P149*G149</f>
        <v>1336.2125188499999</v>
      </c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  <c r="AH149" s="180"/>
      <c r="AI149" s="180"/>
      <c r="AJ149" s="180"/>
    </row>
    <row r="150" spans="1:36" s="29" customFormat="1">
      <c r="A150" s="162">
        <f>IF(F150&lt;&gt;"",1+MAX($A$2:A149),"")</f>
        <v>81</v>
      </c>
      <c r="B150" s="165"/>
      <c r="C150" s="56"/>
      <c r="D150" s="155" t="s">
        <v>97</v>
      </c>
      <c r="E150" s="174">
        <f>ROUNDUP(E149/32,0)</f>
        <v>21</v>
      </c>
      <c r="F150" s="102">
        <v>0</v>
      </c>
      <c r="G150" s="103">
        <f t="shared" si="210"/>
        <v>21</v>
      </c>
      <c r="H150" s="104" t="s">
        <v>55</v>
      </c>
      <c r="I150" s="125"/>
      <c r="J150" s="114"/>
      <c r="K150" s="115"/>
      <c r="L150" s="116"/>
      <c r="M150" s="116"/>
      <c r="N150" s="126"/>
      <c r="O150" s="116"/>
      <c r="P150" s="116"/>
      <c r="Q150" s="15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</row>
    <row r="151" spans="1:36" s="29" customFormat="1">
      <c r="A151" s="162">
        <f>IF(F151&lt;&gt;"",1+MAX($A$2:A150),"")</f>
        <v>82</v>
      </c>
      <c r="B151" s="165"/>
      <c r="C151" s="56"/>
      <c r="D151" s="156" t="s">
        <v>156</v>
      </c>
      <c r="E151" s="174">
        <f>E150*93</f>
        <v>1953</v>
      </c>
      <c r="F151" s="102">
        <v>0</v>
      </c>
      <c r="G151" s="103">
        <f t="shared" si="210"/>
        <v>1953</v>
      </c>
      <c r="H151" s="104" t="s">
        <v>55</v>
      </c>
      <c r="I151" s="125">
        <v>3.0000000000000001E-3</v>
      </c>
      <c r="J151" s="114">
        <f t="shared" ref="J151:J166" si="217">+I151*G151</f>
        <v>5.859</v>
      </c>
      <c r="K151" s="115">
        <f>'LABOR SHEET'!C$8</f>
        <v>79.3</v>
      </c>
      <c r="L151" s="116">
        <f t="shared" ref="L151:L166" si="218">I151*K151</f>
        <v>0.2379</v>
      </c>
      <c r="M151" s="116">
        <f t="shared" ref="M151:M166" si="219">K151*J151</f>
        <v>464.61869999999999</v>
      </c>
      <c r="N151" s="126">
        <v>0.2</v>
      </c>
      <c r="O151" s="116">
        <f t="shared" ref="O151:O166" si="220">N151*G151</f>
        <v>390.6</v>
      </c>
      <c r="P151" s="116">
        <f t="shared" ref="P151:P166" si="221">(I151*K151)+N151</f>
        <v>0.43790000000000001</v>
      </c>
      <c r="Q151" s="150">
        <f t="shared" ref="Q151:Q166" si="222">P151*G151</f>
        <v>855.21870000000001</v>
      </c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</row>
    <row r="152" spans="1:36" s="29" customFormat="1" ht="15" customHeight="1">
      <c r="A152" s="162">
        <f>IF(F152&lt;&gt;"",1+MAX($A$2:A151),"")</f>
        <v>83</v>
      </c>
      <c r="B152" s="165"/>
      <c r="C152" s="56"/>
      <c r="D152" s="173" t="s">
        <v>157</v>
      </c>
      <c r="E152" s="174">
        <f>+E148*9-E157</f>
        <v>1042.29</v>
      </c>
      <c r="F152" s="102">
        <v>0.1</v>
      </c>
      <c r="G152" s="103">
        <f t="shared" si="210"/>
        <v>1146.519</v>
      </c>
      <c r="H152" s="157" t="s">
        <v>61</v>
      </c>
      <c r="I152" s="125">
        <v>1.7000000000000001E-2</v>
      </c>
      <c r="J152" s="114">
        <f t="shared" si="217"/>
        <v>19.490822999999999</v>
      </c>
      <c r="K152" s="115">
        <f>'LABOR SHEET'!C$8</f>
        <v>79.3</v>
      </c>
      <c r="L152" s="116">
        <f t="shared" si="218"/>
        <v>1.3481000000000001</v>
      </c>
      <c r="M152" s="116">
        <f t="shared" si="219"/>
        <v>1545.6222639</v>
      </c>
      <c r="N152" s="126">
        <v>0.495</v>
      </c>
      <c r="O152" s="116">
        <f t="shared" si="220"/>
        <v>567.52690500000006</v>
      </c>
      <c r="P152" s="116">
        <f t="shared" si="221"/>
        <v>1.8431</v>
      </c>
      <c r="Q152" s="150">
        <f t="shared" si="222"/>
        <v>2113.1491688999999</v>
      </c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</row>
    <row r="153" spans="1:36" s="29" customFormat="1" ht="15" customHeight="1">
      <c r="A153" s="162">
        <f>IF(F153&lt;&gt;"",1+MAX($A$2:A152),"")</f>
        <v>84</v>
      </c>
      <c r="B153" s="165"/>
      <c r="C153" s="56"/>
      <c r="D153" s="155" t="s">
        <v>97</v>
      </c>
      <c r="E153" s="174">
        <f>ROUNDUP(E152/32,0)</f>
        <v>33</v>
      </c>
      <c r="F153" s="102">
        <v>0</v>
      </c>
      <c r="G153" s="103">
        <f t="shared" si="210"/>
        <v>33</v>
      </c>
      <c r="H153" s="104" t="s">
        <v>55</v>
      </c>
      <c r="I153" s="125"/>
      <c r="J153" s="114"/>
      <c r="K153" s="115"/>
      <c r="L153" s="116"/>
      <c r="M153" s="116"/>
      <c r="N153" s="126"/>
      <c r="O153" s="116"/>
      <c r="P153" s="116"/>
      <c r="Q153" s="15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</row>
    <row r="154" spans="1:36" s="29" customFormat="1" ht="15" customHeight="1">
      <c r="A154" s="162">
        <f>IF(F154&lt;&gt;"",1+MAX($A$2:A153),"")</f>
        <v>85</v>
      </c>
      <c r="B154" s="165"/>
      <c r="C154" s="56"/>
      <c r="D154" s="155" t="s">
        <v>158</v>
      </c>
      <c r="E154" s="174">
        <f>ROUNDUP(E152*1.33,0)</f>
        <v>1387</v>
      </c>
      <c r="F154" s="102">
        <v>0</v>
      </c>
      <c r="G154" s="103">
        <f t="shared" si="210"/>
        <v>1387</v>
      </c>
      <c r="H154" s="104" t="s">
        <v>55</v>
      </c>
      <c r="I154" s="125">
        <v>2E-3</v>
      </c>
      <c r="J154" s="114">
        <f t="shared" si="217"/>
        <v>2.774</v>
      </c>
      <c r="K154" s="115">
        <f>'LABOR SHEET'!C$8</f>
        <v>79.3</v>
      </c>
      <c r="L154" s="116">
        <f t="shared" si="218"/>
        <v>0.15859999999999999</v>
      </c>
      <c r="M154" s="116">
        <f t="shared" si="219"/>
        <v>219.97819999999999</v>
      </c>
      <c r="N154" s="176">
        <v>0.06</v>
      </c>
      <c r="O154" s="116">
        <f t="shared" si="220"/>
        <v>83.22</v>
      </c>
      <c r="P154" s="116">
        <f t="shared" si="221"/>
        <v>0.21859999999999999</v>
      </c>
      <c r="Q154" s="150">
        <f t="shared" si="222"/>
        <v>303.19819999999999</v>
      </c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180"/>
    </row>
    <row r="155" spans="1:36" s="29" customFormat="1" ht="15" customHeight="1">
      <c r="A155" s="162">
        <f>IF(F155&lt;&gt;"",1+MAX($A$2:A154),"")</f>
        <v>86</v>
      </c>
      <c r="B155" s="165"/>
      <c r="C155" s="56"/>
      <c r="D155" s="155" t="s">
        <v>159</v>
      </c>
      <c r="E155" s="174">
        <f>ROUNDUP(E153*16,0)</f>
        <v>528</v>
      </c>
      <c r="F155" s="102">
        <v>0.05</v>
      </c>
      <c r="G155" s="103">
        <f t="shared" si="210"/>
        <v>554.4</v>
      </c>
      <c r="H155" s="104" t="s">
        <v>64</v>
      </c>
      <c r="I155" s="125">
        <v>1.0999999999999999E-2</v>
      </c>
      <c r="J155" s="114">
        <f t="shared" si="217"/>
        <v>6.0983999999999998</v>
      </c>
      <c r="K155" s="115">
        <f>'LABOR SHEET'!C$8</f>
        <v>79.3</v>
      </c>
      <c r="L155" s="116">
        <f t="shared" si="218"/>
        <v>0.87229999999999996</v>
      </c>
      <c r="M155" s="116">
        <f t="shared" si="219"/>
        <v>483.60311999999999</v>
      </c>
      <c r="N155" s="176">
        <v>0.03</v>
      </c>
      <c r="O155" s="116">
        <f t="shared" si="220"/>
        <v>16.632000000000001</v>
      </c>
      <c r="P155" s="116">
        <f t="shared" si="221"/>
        <v>0.90229999999999999</v>
      </c>
      <c r="Q155" s="150">
        <f t="shared" si="222"/>
        <v>500.23511999999999</v>
      </c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</row>
    <row r="156" spans="1:36" s="29" customFormat="1" ht="15" customHeight="1">
      <c r="A156" s="162">
        <f>IF(F156&lt;&gt;"",1+MAX($A$2:A155),"")</f>
        <v>87</v>
      </c>
      <c r="B156" s="165"/>
      <c r="C156" s="56"/>
      <c r="D156" s="155" t="s">
        <v>160</v>
      </c>
      <c r="E156" s="174">
        <f>E152*0.084</f>
        <v>87.552359999999993</v>
      </c>
      <c r="F156" s="55">
        <v>0.05</v>
      </c>
      <c r="G156" s="103">
        <f t="shared" si="210"/>
        <v>91.929978000000006</v>
      </c>
      <c r="H156" s="104" t="s">
        <v>161</v>
      </c>
      <c r="I156" s="125">
        <v>0.11</v>
      </c>
      <c r="J156" s="114">
        <f t="shared" si="217"/>
        <v>10.11229758</v>
      </c>
      <c r="K156" s="115">
        <f>'LABOR SHEET'!C$8</f>
        <v>79.3</v>
      </c>
      <c r="L156" s="116">
        <f t="shared" si="218"/>
        <v>8.7230000000000008</v>
      </c>
      <c r="M156" s="116">
        <f t="shared" si="219"/>
        <v>801.90519809399996</v>
      </c>
      <c r="N156" s="126">
        <v>0.5</v>
      </c>
      <c r="O156" s="116">
        <f t="shared" si="220"/>
        <v>45.964989000000003</v>
      </c>
      <c r="P156" s="116">
        <f t="shared" si="221"/>
        <v>9.2230000000000008</v>
      </c>
      <c r="Q156" s="150">
        <f t="shared" si="222"/>
        <v>847.87018709400002</v>
      </c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</row>
    <row r="157" spans="1:36" s="29" customFormat="1" ht="15" customHeight="1">
      <c r="A157" s="162">
        <f>IF(F157&lt;&gt;"",1+MAX($A$2:A156),"")</f>
        <v>88</v>
      </c>
      <c r="B157" s="165"/>
      <c r="C157" s="56"/>
      <c r="D157" s="173" t="s">
        <v>162</v>
      </c>
      <c r="E157" s="174">
        <f>9.5*9</f>
        <v>85.5</v>
      </c>
      <c r="F157" s="102">
        <v>0.1</v>
      </c>
      <c r="G157" s="103">
        <f t="shared" ref="G157:G161" si="223">E157*(1+F157)</f>
        <v>94.05</v>
      </c>
      <c r="H157" s="157" t="s">
        <v>61</v>
      </c>
      <c r="I157" s="125">
        <v>1.9E-2</v>
      </c>
      <c r="J157" s="114">
        <f t="shared" si="217"/>
        <v>1.78695</v>
      </c>
      <c r="K157" s="115">
        <f>'LABOR SHEET'!C$8</f>
        <v>79.3</v>
      </c>
      <c r="L157" s="116">
        <f t="shared" si="218"/>
        <v>1.5066999999999999</v>
      </c>
      <c r="M157" s="116">
        <f t="shared" si="219"/>
        <v>141.70513500000001</v>
      </c>
      <c r="N157" s="126">
        <v>0.74</v>
      </c>
      <c r="O157" s="116">
        <f t="shared" si="220"/>
        <v>69.596999999999994</v>
      </c>
      <c r="P157" s="116">
        <f t="shared" si="221"/>
        <v>2.2467000000000001</v>
      </c>
      <c r="Q157" s="150">
        <f t="shared" si="222"/>
        <v>211.30213499999999</v>
      </c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</row>
    <row r="158" spans="1:36" s="29" customFormat="1" ht="15" customHeight="1">
      <c r="A158" s="162">
        <f>IF(F158&lt;&gt;"",1+MAX($A$2:A157),"")</f>
        <v>89</v>
      </c>
      <c r="B158" s="165"/>
      <c r="C158" s="56"/>
      <c r="D158" s="155" t="s">
        <v>97</v>
      </c>
      <c r="E158" s="174">
        <f>ROUNDUP(E157/32,0)</f>
        <v>3</v>
      </c>
      <c r="F158" s="102">
        <v>0</v>
      </c>
      <c r="G158" s="103">
        <f t="shared" si="223"/>
        <v>3</v>
      </c>
      <c r="H158" s="104" t="s">
        <v>55</v>
      </c>
      <c r="I158" s="125"/>
      <c r="J158" s="114"/>
      <c r="K158" s="115"/>
      <c r="L158" s="116"/>
      <c r="M158" s="116"/>
      <c r="N158" s="126"/>
      <c r="O158" s="116"/>
      <c r="P158" s="116"/>
      <c r="Q158" s="15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</row>
    <row r="159" spans="1:36" s="29" customFormat="1" ht="15" customHeight="1">
      <c r="A159" s="162">
        <f>IF(F159&lt;&gt;"",1+MAX($A$2:A158),"")</f>
        <v>90</v>
      </c>
      <c r="B159" s="165"/>
      <c r="C159" s="56"/>
      <c r="D159" s="155" t="s">
        <v>158</v>
      </c>
      <c r="E159" s="174">
        <f>ROUNDUP(E157*1.33,0)</f>
        <v>114</v>
      </c>
      <c r="F159" s="102">
        <v>0</v>
      </c>
      <c r="G159" s="103">
        <f t="shared" si="223"/>
        <v>114</v>
      </c>
      <c r="H159" s="104" t="s">
        <v>55</v>
      </c>
      <c r="I159" s="125">
        <v>2E-3</v>
      </c>
      <c r="J159" s="114">
        <f t="shared" ref="J159" si="224">+I159*G159</f>
        <v>0.22800000000000001</v>
      </c>
      <c r="K159" s="115">
        <f>'LABOR SHEET'!C$8</f>
        <v>79.3</v>
      </c>
      <c r="L159" s="116">
        <f t="shared" ref="L159" si="225">I159*K159</f>
        <v>0.15859999999999999</v>
      </c>
      <c r="M159" s="116">
        <f t="shared" ref="M159" si="226">K159*J159</f>
        <v>18.080400000000001</v>
      </c>
      <c r="N159" s="176">
        <v>0.06</v>
      </c>
      <c r="O159" s="116">
        <f t="shared" ref="O159" si="227">N159*G159</f>
        <v>6.84</v>
      </c>
      <c r="P159" s="116">
        <f t="shared" ref="P159" si="228">(I159*K159)+N159</f>
        <v>0.21859999999999999</v>
      </c>
      <c r="Q159" s="150">
        <f t="shared" ref="Q159" si="229">P159*G159</f>
        <v>24.920400000000001</v>
      </c>
      <c r="R159" s="180"/>
      <c r="S159" s="180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</row>
    <row r="160" spans="1:36" s="29" customFormat="1" ht="15" customHeight="1">
      <c r="A160" s="162">
        <f>IF(F160&lt;&gt;"",1+MAX($A$2:A159),"")</f>
        <v>91</v>
      </c>
      <c r="B160" s="165"/>
      <c r="C160" s="56"/>
      <c r="D160" s="155" t="s">
        <v>159</v>
      </c>
      <c r="E160" s="174">
        <f>ROUNDUP(E158*16,0)</f>
        <v>48</v>
      </c>
      <c r="F160" s="102">
        <v>0.05</v>
      </c>
      <c r="G160" s="103">
        <f t="shared" si="223"/>
        <v>50.4</v>
      </c>
      <c r="H160" s="104" t="s">
        <v>64</v>
      </c>
      <c r="I160" s="125">
        <v>1.0999999999999999E-2</v>
      </c>
      <c r="J160" s="114">
        <f t="shared" si="217"/>
        <v>0.5544</v>
      </c>
      <c r="K160" s="115">
        <f>'LABOR SHEET'!C$8</f>
        <v>79.3</v>
      </c>
      <c r="L160" s="116">
        <f t="shared" si="218"/>
        <v>0.87229999999999996</v>
      </c>
      <c r="M160" s="116">
        <f t="shared" si="219"/>
        <v>43.963920000000002</v>
      </c>
      <c r="N160" s="176">
        <v>0.03</v>
      </c>
      <c r="O160" s="116">
        <f t="shared" si="220"/>
        <v>1.512</v>
      </c>
      <c r="P160" s="116">
        <f t="shared" si="221"/>
        <v>0.90229999999999999</v>
      </c>
      <c r="Q160" s="150">
        <f t="shared" si="222"/>
        <v>45.475920000000002</v>
      </c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  <c r="AB160" s="180"/>
      <c r="AC160" s="180"/>
      <c r="AD160" s="180"/>
      <c r="AE160" s="180"/>
      <c r="AF160" s="180"/>
      <c r="AG160" s="180"/>
      <c r="AH160" s="180"/>
      <c r="AI160" s="180"/>
      <c r="AJ160" s="180"/>
    </row>
    <row r="161" spans="1:36" s="29" customFormat="1" ht="15" customHeight="1">
      <c r="A161" s="162">
        <f>IF(F161&lt;&gt;"",1+MAX($A$2:A160),"")</f>
        <v>92</v>
      </c>
      <c r="B161" s="165"/>
      <c r="C161" s="56"/>
      <c r="D161" s="155" t="s">
        <v>160</v>
      </c>
      <c r="E161" s="174">
        <f>E157*0.084</f>
        <v>7.1820000000000004</v>
      </c>
      <c r="F161" s="55">
        <v>0.05</v>
      </c>
      <c r="G161" s="103">
        <f t="shared" si="223"/>
        <v>7.5411000000000001</v>
      </c>
      <c r="H161" s="104" t="s">
        <v>161</v>
      </c>
      <c r="I161" s="125">
        <v>0.11</v>
      </c>
      <c r="J161" s="114">
        <f t="shared" si="217"/>
        <v>0.82952099999999995</v>
      </c>
      <c r="K161" s="115">
        <f>'LABOR SHEET'!C$8</f>
        <v>79.3</v>
      </c>
      <c r="L161" s="116">
        <f t="shared" si="218"/>
        <v>8.7230000000000008</v>
      </c>
      <c r="M161" s="116">
        <f t="shared" si="219"/>
        <v>65.781015300000007</v>
      </c>
      <c r="N161" s="126">
        <v>0.5</v>
      </c>
      <c r="O161" s="116">
        <f t="shared" si="220"/>
        <v>3.7705500000000001</v>
      </c>
      <c r="P161" s="116">
        <f t="shared" si="221"/>
        <v>9.2230000000000008</v>
      </c>
      <c r="Q161" s="150">
        <f t="shared" si="222"/>
        <v>69.551565299999993</v>
      </c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  <c r="AB161" s="180"/>
      <c r="AC161" s="180"/>
      <c r="AD161" s="180"/>
      <c r="AE161" s="180"/>
      <c r="AF161" s="180"/>
      <c r="AG161" s="180"/>
      <c r="AH161" s="180"/>
      <c r="AI161" s="180"/>
      <c r="AJ161" s="180"/>
    </row>
    <row r="162" spans="1:36" s="29" customFormat="1">
      <c r="A162" s="162">
        <f>IF(F162&lt;&gt;"",1+MAX($A$2:A161),"")</f>
        <v>93</v>
      </c>
      <c r="B162" s="165"/>
      <c r="C162" s="56"/>
      <c r="D162" s="173" t="s">
        <v>111</v>
      </c>
      <c r="E162" s="174">
        <f>+E148*9</f>
        <v>1127.79</v>
      </c>
      <c r="F162" s="102">
        <v>0.1</v>
      </c>
      <c r="G162" s="103">
        <f t="shared" si="210"/>
        <v>1240.569</v>
      </c>
      <c r="H162" s="157" t="s">
        <v>61</v>
      </c>
      <c r="I162" s="125">
        <v>0.01</v>
      </c>
      <c r="J162" s="114">
        <f t="shared" si="217"/>
        <v>12.40569</v>
      </c>
      <c r="K162" s="115">
        <f>'LABOR SHEET'!C$8</f>
        <v>79.3</v>
      </c>
      <c r="L162" s="116">
        <f t="shared" si="218"/>
        <v>0.79300000000000004</v>
      </c>
      <c r="M162" s="116">
        <f t="shared" si="219"/>
        <v>983.77121699999998</v>
      </c>
      <c r="N162" s="126">
        <v>1.1100000000000001</v>
      </c>
      <c r="O162" s="116">
        <f t="shared" si="220"/>
        <v>1377.0315900000001</v>
      </c>
      <c r="P162" s="116">
        <f t="shared" si="221"/>
        <v>1.903</v>
      </c>
      <c r="Q162" s="150">
        <f t="shared" si="222"/>
        <v>2360.802807</v>
      </c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  <c r="AB162" s="180"/>
      <c r="AC162" s="180"/>
      <c r="AD162" s="180"/>
      <c r="AE162" s="180"/>
      <c r="AF162" s="180"/>
      <c r="AG162" s="180"/>
      <c r="AH162" s="180"/>
      <c r="AI162" s="180"/>
      <c r="AJ162" s="180"/>
    </row>
    <row r="163" spans="1:36" s="29" customFormat="1">
      <c r="A163" s="162">
        <f>IF(F163&lt;&gt;"",1+MAX($A$2:A162),"")</f>
        <v>94</v>
      </c>
      <c r="B163" s="165"/>
      <c r="C163" s="56"/>
      <c r="D163" s="173" t="s">
        <v>163</v>
      </c>
      <c r="E163" s="174">
        <f>+ROUNDUP(E148/1.33,0)*9</f>
        <v>855</v>
      </c>
      <c r="F163" s="102">
        <v>0.05</v>
      </c>
      <c r="G163" s="103">
        <f t="shared" si="210"/>
        <v>897.75</v>
      </c>
      <c r="H163" s="157" t="s">
        <v>64</v>
      </c>
      <c r="I163" s="125">
        <v>1.7999999999999999E-2</v>
      </c>
      <c r="J163" s="114">
        <f t="shared" si="217"/>
        <v>16.159500000000001</v>
      </c>
      <c r="K163" s="115">
        <f>'LABOR SHEET'!C$8</f>
        <v>79.3</v>
      </c>
      <c r="L163" s="116">
        <f t="shared" si="218"/>
        <v>1.4274</v>
      </c>
      <c r="M163" s="116">
        <f t="shared" si="219"/>
        <v>1281.4483499999999</v>
      </c>
      <c r="N163" s="126">
        <v>1.4</v>
      </c>
      <c r="O163" s="116">
        <f t="shared" si="220"/>
        <v>1256.8499999999999</v>
      </c>
      <c r="P163" s="116">
        <f t="shared" si="221"/>
        <v>2.8273999999999999</v>
      </c>
      <c r="Q163" s="150">
        <f t="shared" si="222"/>
        <v>2538.29835</v>
      </c>
      <c r="R163" s="180"/>
      <c r="S163" s="180"/>
      <c r="T163" s="180"/>
      <c r="U163" s="180"/>
      <c r="V163" s="180"/>
      <c r="W163" s="180"/>
      <c r="X163" s="180"/>
      <c r="Y163" s="180"/>
      <c r="Z163" s="180"/>
      <c r="AA163" s="180"/>
      <c r="AB163" s="180"/>
      <c r="AC163" s="180"/>
      <c r="AD163" s="180"/>
      <c r="AE163" s="180"/>
      <c r="AF163" s="180"/>
      <c r="AG163" s="180"/>
      <c r="AH163" s="180"/>
      <c r="AI163" s="180"/>
      <c r="AJ163" s="180"/>
    </row>
    <row r="164" spans="1:36" s="29" customFormat="1">
      <c r="A164" s="162">
        <f>IF(F164&lt;&gt;"",1+MAX($A$2:A163),"")</f>
        <v>95</v>
      </c>
      <c r="B164" s="165"/>
      <c r="C164" s="56"/>
      <c r="D164" s="173" t="s">
        <v>164</v>
      </c>
      <c r="E164" s="174">
        <f>E148*3</f>
        <v>375.93</v>
      </c>
      <c r="F164" s="102">
        <v>0.05</v>
      </c>
      <c r="G164" s="103">
        <f t="shared" si="210"/>
        <v>394.72649999999999</v>
      </c>
      <c r="H164" s="157" t="s">
        <v>64</v>
      </c>
      <c r="I164" s="125">
        <v>1.7999999999999999E-2</v>
      </c>
      <c r="J164" s="114">
        <f t="shared" si="217"/>
        <v>7.1050769999999996</v>
      </c>
      <c r="K164" s="115">
        <f>'LABOR SHEET'!C$8</f>
        <v>79.3</v>
      </c>
      <c r="L164" s="116">
        <f t="shared" si="218"/>
        <v>1.4274</v>
      </c>
      <c r="M164" s="116">
        <f t="shared" si="219"/>
        <v>563.43260610000004</v>
      </c>
      <c r="N164" s="126">
        <v>1.4</v>
      </c>
      <c r="O164" s="116">
        <f t="shared" si="220"/>
        <v>552.61710000000005</v>
      </c>
      <c r="P164" s="116">
        <f t="shared" si="221"/>
        <v>2.8273999999999999</v>
      </c>
      <c r="Q164" s="150">
        <f t="shared" si="222"/>
        <v>1116.0497061000001</v>
      </c>
      <c r="R164" s="180"/>
      <c r="S164" s="180"/>
      <c r="T164" s="180"/>
      <c r="U164" s="180"/>
      <c r="V164" s="180"/>
      <c r="W164" s="180"/>
      <c r="X164" s="180"/>
      <c r="Y164" s="180"/>
      <c r="Z164" s="180"/>
      <c r="AA164" s="180"/>
      <c r="AB164" s="180"/>
      <c r="AC164" s="180"/>
      <c r="AD164" s="180"/>
      <c r="AE164" s="180"/>
      <c r="AF164" s="180"/>
      <c r="AG164" s="180"/>
      <c r="AH164" s="180"/>
      <c r="AI164" s="180"/>
      <c r="AJ164" s="180"/>
    </row>
    <row r="165" spans="1:36" s="29" customFormat="1">
      <c r="A165" s="162">
        <f>IF(F165&lt;&gt;"",1+MAX($A$2:A164),"")</f>
        <v>96</v>
      </c>
      <c r="B165" s="165"/>
      <c r="C165" s="56"/>
      <c r="D165" s="173" t="s">
        <v>165</v>
      </c>
      <c r="E165" s="174">
        <f>E148*1</f>
        <v>125.31</v>
      </c>
      <c r="F165" s="102">
        <v>0.05</v>
      </c>
      <c r="G165" s="103">
        <f t="shared" si="210"/>
        <v>131.57550000000001</v>
      </c>
      <c r="H165" s="157" t="s">
        <v>64</v>
      </c>
      <c r="I165" s="125">
        <v>1.7999999999999999E-2</v>
      </c>
      <c r="J165" s="114">
        <f t="shared" si="217"/>
        <v>2.3683589999999999</v>
      </c>
      <c r="K165" s="115">
        <f>'LABOR SHEET'!C$8</f>
        <v>79.3</v>
      </c>
      <c r="L165" s="116">
        <f t="shared" si="218"/>
        <v>1.4274</v>
      </c>
      <c r="M165" s="116">
        <f t="shared" si="219"/>
        <v>187.81086869999999</v>
      </c>
      <c r="N165" s="126">
        <v>1.7</v>
      </c>
      <c r="O165" s="116">
        <f t="shared" si="220"/>
        <v>223.67834999999999</v>
      </c>
      <c r="P165" s="116">
        <f t="shared" si="221"/>
        <v>3.1274000000000002</v>
      </c>
      <c r="Q165" s="150">
        <f t="shared" si="222"/>
        <v>411.48921869999998</v>
      </c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80"/>
    </row>
    <row r="166" spans="1:36" s="29" customFormat="1">
      <c r="A166" s="162">
        <f>IF(F166&lt;&gt;"",1+MAX($A$2:A165),"")</f>
        <v>97</v>
      </c>
      <c r="B166" s="165"/>
      <c r="C166" s="56"/>
      <c r="D166" s="173" t="s">
        <v>166</v>
      </c>
      <c r="E166" s="174">
        <f>E148*2</f>
        <v>250.62</v>
      </c>
      <c r="F166" s="102">
        <v>0.05</v>
      </c>
      <c r="G166" s="103">
        <f t="shared" si="210"/>
        <v>263.15100000000001</v>
      </c>
      <c r="H166" s="157" t="s">
        <v>64</v>
      </c>
      <c r="I166" s="125">
        <v>0.01</v>
      </c>
      <c r="J166" s="114">
        <f t="shared" si="217"/>
        <v>2.63151</v>
      </c>
      <c r="K166" s="115">
        <f>'LABOR SHEET'!C$8</f>
        <v>79.3</v>
      </c>
      <c r="L166" s="116">
        <f t="shared" si="218"/>
        <v>0.79300000000000004</v>
      </c>
      <c r="M166" s="116">
        <f t="shared" si="219"/>
        <v>208.678743</v>
      </c>
      <c r="N166" s="126">
        <v>0.5</v>
      </c>
      <c r="O166" s="116">
        <f t="shared" si="220"/>
        <v>131.57550000000001</v>
      </c>
      <c r="P166" s="116">
        <f t="shared" si="221"/>
        <v>1.2929999999999999</v>
      </c>
      <c r="Q166" s="150">
        <f t="shared" si="222"/>
        <v>340.25424299999997</v>
      </c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  <c r="AH166" s="180"/>
      <c r="AI166" s="180"/>
      <c r="AJ166" s="180"/>
    </row>
    <row r="167" spans="1:36" s="29" customFormat="1">
      <c r="A167" s="162" t="str">
        <f>IF(F167&lt;&gt;"",1+MAX($A$2:A166),"")</f>
        <v/>
      </c>
      <c r="B167" s="165"/>
      <c r="C167" s="56"/>
      <c r="D167" s="173" t="s">
        <v>151</v>
      </c>
      <c r="E167" s="174"/>
      <c r="F167" s="102"/>
      <c r="G167" s="103"/>
      <c r="H167" s="157"/>
      <c r="I167" s="125"/>
      <c r="J167" s="114"/>
      <c r="K167" s="115"/>
      <c r="L167" s="116"/>
      <c r="M167" s="116"/>
      <c r="N167" s="126"/>
      <c r="O167" s="116"/>
      <c r="P167" s="116"/>
      <c r="Q167" s="179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0"/>
    </row>
    <row r="168" spans="1:36" s="29" customFormat="1" ht="15.75" customHeight="1">
      <c r="A168" s="162" t="str">
        <f>IF(F168&lt;&gt;"",1+MAX($A$2:A167),"")</f>
        <v/>
      </c>
      <c r="B168" s="165"/>
      <c r="C168" s="56"/>
      <c r="D168" s="168" t="s">
        <v>167</v>
      </c>
      <c r="E168" s="169">
        <v>52.08</v>
      </c>
      <c r="F168" s="170"/>
      <c r="G168" s="171"/>
      <c r="H168" s="172" t="s">
        <v>64</v>
      </c>
      <c r="I168" s="125"/>
      <c r="J168" s="114"/>
      <c r="K168" s="115"/>
      <c r="L168" s="116"/>
      <c r="M168" s="116"/>
      <c r="N168" s="126"/>
      <c r="O168" s="116"/>
      <c r="P168" s="116"/>
      <c r="Q168" s="179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</row>
    <row r="169" spans="1:36" s="29" customFormat="1">
      <c r="A169" s="162">
        <f>IF(F169&lt;&gt;"",1+MAX($A$2:A168),"")</f>
        <v>98</v>
      </c>
      <c r="B169" s="165"/>
      <c r="C169" s="56"/>
      <c r="D169" s="173" t="s">
        <v>157</v>
      </c>
      <c r="E169" s="174">
        <f>+E168*9*2-E174-E179</f>
        <v>626.58000000000004</v>
      </c>
      <c r="F169" s="102">
        <v>0.1</v>
      </c>
      <c r="G169" s="103">
        <f t="shared" ref="G169:G188" si="230">E169*(1+F169)</f>
        <v>689.23800000000006</v>
      </c>
      <c r="H169" s="157" t="s">
        <v>61</v>
      </c>
      <c r="I169" s="125">
        <v>1.7000000000000001E-2</v>
      </c>
      <c r="J169" s="114">
        <f t="shared" ref="J169:J188" si="231">+I169*G169</f>
        <v>11.717046</v>
      </c>
      <c r="K169" s="115">
        <f>'LABOR SHEET'!C$8</f>
        <v>79.3</v>
      </c>
      <c r="L169" s="116">
        <f t="shared" ref="L169:L188" si="232">I169*K169</f>
        <v>1.3481000000000001</v>
      </c>
      <c r="M169" s="116">
        <f t="shared" ref="M169:M188" si="233">K169*J169</f>
        <v>929.16174779999994</v>
      </c>
      <c r="N169" s="126">
        <v>0.495</v>
      </c>
      <c r="O169" s="116">
        <f t="shared" ref="O169:O188" si="234">N169*G169</f>
        <v>341.17281000000003</v>
      </c>
      <c r="P169" s="116">
        <f t="shared" ref="P169:P188" si="235">(I169*K169)+N169</f>
        <v>1.8431</v>
      </c>
      <c r="Q169" s="150">
        <f t="shared" ref="Q169:Q188" si="236">P169*G169</f>
        <v>1270.3345578000001</v>
      </c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</row>
    <row r="170" spans="1:36" s="29" customFormat="1">
      <c r="A170" s="162">
        <f>IF(F170&lt;&gt;"",1+MAX($A$2:A169),"")</f>
        <v>99</v>
      </c>
      <c r="B170" s="165"/>
      <c r="C170" s="56"/>
      <c r="D170" s="155" t="s">
        <v>97</v>
      </c>
      <c r="E170" s="174">
        <f>ROUNDUP(E169/32,0)</f>
        <v>20</v>
      </c>
      <c r="F170" s="102">
        <v>0</v>
      </c>
      <c r="G170" s="103">
        <f t="shared" si="230"/>
        <v>20</v>
      </c>
      <c r="H170" s="104" t="s">
        <v>55</v>
      </c>
      <c r="I170" s="125"/>
      <c r="J170" s="114"/>
      <c r="K170" s="115"/>
      <c r="L170" s="116"/>
      <c r="M170" s="116"/>
      <c r="N170" s="126"/>
      <c r="O170" s="116"/>
      <c r="P170" s="116"/>
      <c r="Q170" s="15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</row>
    <row r="171" spans="1:36" s="29" customFormat="1">
      <c r="A171" s="162">
        <f>IF(F171&lt;&gt;"",1+MAX($A$2:A170),"")</f>
        <v>100</v>
      </c>
      <c r="B171" s="165"/>
      <c r="C171" s="56"/>
      <c r="D171" s="155" t="s">
        <v>158</v>
      </c>
      <c r="E171" s="174">
        <f>ROUNDUP(E169*1.33,0)</f>
        <v>834</v>
      </c>
      <c r="F171" s="102">
        <v>0</v>
      </c>
      <c r="G171" s="103">
        <f t="shared" si="230"/>
        <v>834</v>
      </c>
      <c r="H171" s="104" t="s">
        <v>55</v>
      </c>
      <c r="I171" s="125">
        <v>2E-3</v>
      </c>
      <c r="J171" s="114">
        <f t="shared" ref="J171" si="237">+I171*G171</f>
        <v>1.6679999999999999</v>
      </c>
      <c r="K171" s="115">
        <f>'LABOR SHEET'!C$8</f>
        <v>79.3</v>
      </c>
      <c r="L171" s="116">
        <f t="shared" ref="L171" si="238">I171*K171</f>
        <v>0.15859999999999999</v>
      </c>
      <c r="M171" s="116">
        <f t="shared" ref="M171" si="239">K171*J171</f>
        <v>132.2724</v>
      </c>
      <c r="N171" s="176">
        <v>0.06</v>
      </c>
      <c r="O171" s="116">
        <f t="shared" ref="O171" si="240">N171*G171</f>
        <v>50.04</v>
      </c>
      <c r="P171" s="116">
        <f t="shared" ref="P171" si="241">(I171*K171)+N171</f>
        <v>0.21859999999999999</v>
      </c>
      <c r="Q171" s="150">
        <f t="shared" ref="Q171" si="242">P171*G171</f>
        <v>182.3124</v>
      </c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</row>
    <row r="172" spans="1:36" s="29" customFormat="1">
      <c r="A172" s="162">
        <f>IF(F172&lt;&gt;"",1+MAX($A$2:A171),"")</f>
        <v>101</v>
      </c>
      <c r="B172" s="165"/>
      <c r="C172" s="56"/>
      <c r="D172" s="155" t="s">
        <v>159</v>
      </c>
      <c r="E172" s="174">
        <f>ROUNDUP(E170*16,0)</f>
        <v>320</v>
      </c>
      <c r="F172" s="102">
        <v>0.05</v>
      </c>
      <c r="G172" s="103">
        <f t="shared" si="230"/>
        <v>336</v>
      </c>
      <c r="H172" s="104" t="s">
        <v>64</v>
      </c>
      <c r="I172" s="125">
        <v>1.0999999999999999E-2</v>
      </c>
      <c r="J172" s="114">
        <f t="shared" si="231"/>
        <v>3.6960000000000002</v>
      </c>
      <c r="K172" s="115">
        <f>'LABOR SHEET'!C$8</f>
        <v>79.3</v>
      </c>
      <c r="L172" s="116">
        <f t="shared" si="232"/>
        <v>0.87229999999999996</v>
      </c>
      <c r="M172" s="116">
        <f t="shared" si="233"/>
        <v>293.09280000000001</v>
      </c>
      <c r="N172" s="176">
        <v>0.03</v>
      </c>
      <c r="O172" s="116">
        <f t="shared" si="234"/>
        <v>10.08</v>
      </c>
      <c r="P172" s="116">
        <f t="shared" si="235"/>
        <v>0.90229999999999999</v>
      </c>
      <c r="Q172" s="150">
        <f t="shared" si="236"/>
        <v>303.1728</v>
      </c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</row>
    <row r="173" spans="1:36" s="29" customFormat="1">
      <c r="A173" s="162">
        <f>IF(F173&lt;&gt;"",1+MAX($A$2:A172),"")</f>
        <v>102</v>
      </c>
      <c r="B173" s="165"/>
      <c r="C173" s="56"/>
      <c r="D173" s="155" t="s">
        <v>160</v>
      </c>
      <c r="E173" s="174">
        <f>E169*0.084</f>
        <v>52.632719999999999</v>
      </c>
      <c r="F173" s="55">
        <v>0.05</v>
      </c>
      <c r="G173" s="103">
        <f t="shared" si="230"/>
        <v>55.264355999999999</v>
      </c>
      <c r="H173" s="104" t="s">
        <v>161</v>
      </c>
      <c r="I173" s="125">
        <v>0.11</v>
      </c>
      <c r="J173" s="114">
        <f t="shared" si="231"/>
        <v>6.07907916</v>
      </c>
      <c r="K173" s="115">
        <f>'LABOR SHEET'!C$8</f>
        <v>79.3</v>
      </c>
      <c r="L173" s="116">
        <f t="shared" si="232"/>
        <v>8.7230000000000008</v>
      </c>
      <c r="M173" s="116">
        <f t="shared" si="233"/>
        <v>482.07097738800002</v>
      </c>
      <c r="N173" s="126">
        <v>0.5</v>
      </c>
      <c r="O173" s="116">
        <f t="shared" si="234"/>
        <v>27.632178</v>
      </c>
      <c r="P173" s="116">
        <f t="shared" si="235"/>
        <v>9.2230000000000008</v>
      </c>
      <c r="Q173" s="150">
        <f t="shared" si="236"/>
        <v>509.70315538800003</v>
      </c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</row>
    <row r="174" spans="1:36" s="29" customFormat="1">
      <c r="A174" s="162">
        <f>IF(F174&lt;&gt;"",1+MAX($A$2:A173),"")</f>
        <v>103</v>
      </c>
      <c r="B174" s="165"/>
      <c r="C174" s="56"/>
      <c r="D174" s="173" t="s">
        <v>168</v>
      </c>
      <c r="E174" s="174">
        <f>21.18*9</f>
        <v>190.62</v>
      </c>
      <c r="F174" s="102">
        <v>0.1</v>
      </c>
      <c r="G174" s="103">
        <f t="shared" si="230"/>
        <v>209.68199999999999</v>
      </c>
      <c r="H174" s="157" t="s">
        <v>61</v>
      </c>
      <c r="I174" s="125">
        <v>1.9E-2</v>
      </c>
      <c r="J174" s="114">
        <f t="shared" si="231"/>
        <v>3.9839579999999999</v>
      </c>
      <c r="K174" s="115">
        <f>'LABOR SHEET'!C$8</f>
        <v>79.3</v>
      </c>
      <c r="L174" s="116">
        <f t="shared" si="232"/>
        <v>1.5066999999999999</v>
      </c>
      <c r="M174" s="116">
        <f t="shared" si="233"/>
        <v>315.92786940000002</v>
      </c>
      <c r="N174" s="126">
        <v>0.74</v>
      </c>
      <c r="O174" s="116">
        <f t="shared" si="234"/>
        <v>155.16468</v>
      </c>
      <c r="P174" s="116">
        <f t="shared" si="235"/>
        <v>2.2467000000000001</v>
      </c>
      <c r="Q174" s="150">
        <f t="shared" si="236"/>
        <v>471.0925494</v>
      </c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</row>
    <row r="175" spans="1:36" s="29" customFormat="1">
      <c r="A175" s="162">
        <f>IF(F175&lt;&gt;"",1+MAX($A$2:A174),"")</f>
        <v>104</v>
      </c>
      <c r="B175" s="165"/>
      <c r="C175" s="56"/>
      <c r="D175" s="155" t="s">
        <v>97</v>
      </c>
      <c r="E175" s="174">
        <f>ROUNDUP(E174/32,0)</f>
        <v>6</v>
      </c>
      <c r="F175" s="102">
        <v>0</v>
      </c>
      <c r="G175" s="103">
        <f t="shared" si="230"/>
        <v>6</v>
      </c>
      <c r="H175" s="104" t="s">
        <v>55</v>
      </c>
      <c r="I175" s="125"/>
      <c r="J175" s="114"/>
      <c r="K175" s="115"/>
      <c r="L175" s="116"/>
      <c r="M175" s="116"/>
      <c r="N175" s="126"/>
      <c r="O175" s="116"/>
      <c r="P175" s="116"/>
      <c r="Q175" s="15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</row>
    <row r="176" spans="1:36" s="29" customFormat="1">
      <c r="A176" s="162">
        <f>IF(F176&lt;&gt;"",1+MAX($A$2:A175),"")</f>
        <v>105</v>
      </c>
      <c r="B176" s="165"/>
      <c r="C176" s="56"/>
      <c r="D176" s="155" t="s">
        <v>158</v>
      </c>
      <c r="E176" s="174">
        <f>ROUNDUP(E174*1.33,0)</f>
        <v>254</v>
      </c>
      <c r="F176" s="102">
        <v>0</v>
      </c>
      <c r="G176" s="103">
        <f t="shared" si="230"/>
        <v>254</v>
      </c>
      <c r="H176" s="104" t="s">
        <v>55</v>
      </c>
      <c r="I176" s="125">
        <v>2E-3</v>
      </c>
      <c r="J176" s="114">
        <f t="shared" ref="J176" si="243">+I176*G176</f>
        <v>0.50800000000000001</v>
      </c>
      <c r="K176" s="115">
        <f>'LABOR SHEET'!C$8</f>
        <v>79.3</v>
      </c>
      <c r="L176" s="116">
        <f t="shared" ref="L176" si="244">I176*K176</f>
        <v>0.15859999999999999</v>
      </c>
      <c r="M176" s="116">
        <f t="shared" ref="M176" si="245">K176*J176</f>
        <v>40.284399999999998</v>
      </c>
      <c r="N176" s="176">
        <v>0.06</v>
      </c>
      <c r="O176" s="116">
        <f t="shared" ref="O176" si="246">N176*G176</f>
        <v>15.24</v>
      </c>
      <c r="P176" s="116">
        <f t="shared" ref="P176" si="247">(I176*K176)+N176</f>
        <v>0.21859999999999999</v>
      </c>
      <c r="Q176" s="150">
        <f t="shared" ref="Q176" si="248">P176*G176</f>
        <v>55.5244</v>
      </c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</row>
    <row r="177" spans="1:36" s="29" customFormat="1">
      <c r="A177" s="162">
        <f>IF(F177&lt;&gt;"",1+MAX($A$2:A176),"")</f>
        <v>106</v>
      </c>
      <c r="B177" s="165"/>
      <c r="C177" s="56"/>
      <c r="D177" s="155" t="s">
        <v>159</v>
      </c>
      <c r="E177" s="174">
        <f>ROUNDUP(E175*16,0)</f>
        <v>96</v>
      </c>
      <c r="F177" s="102">
        <v>0.05</v>
      </c>
      <c r="G177" s="103">
        <f t="shared" si="230"/>
        <v>100.8</v>
      </c>
      <c r="H177" s="104" t="s">
        <v>64</v>
      </c>
      <c r="I177" s="125">
        <v>1.0999999999999999E-2</v>
      </c>
      <c r="J177" s="114">
        <f t="shared" si="231"/>
        <v>1.1088</v>
      </c>
      <c r="K177" s="115">
        <f>'LABOR SHEET'!C$8</f>
        <v>79.3</v>
      </c>
      <c r="L177" s="116">
        <f t="shared" si="232"/>
        <v>0.87229999999999996</v>
      </c>
      <c r="M177" s="116">
        <f t="shared" si="233"/>
        <v>87.927840000000003</v>
      </c>
      <c r="N177" s="176">
        <v>0.03</v>
      </c>
      <c r="O177" s="116">
        <f t="shared" si="234"/>
        <v>3.024</v>
      </c>
      <c r="P177" s="116">
        <f t="shared" si="235"/>
        <v>0.90229999999999999</v>
      </c>
      <c r="Q177" s="150">
        <f t="shared" si="236"/>
        <v>90.951840000000004</v>
      </c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</row>
    <row r="178" spans="1:36" s="29" customFormat="1">
      <c r="A178" s="162">
        <f>IF(F178&lt;&gt;"",1+MAX($A$2:A177),"")</f>
        <v>107</v>
      </c>
      <c r="B178" s="165"/>
      <c r="C178" s="56"/>
      <c r="D178" s="155" t="s">
        <v>160</v>
      </c>
      <c r="E178" s="174">
        <f>E174*0.084</f>
        <v>16.012080000000001</v>
      </c>
      <c r="F178" s="55">
        <v>0.05</v>
      </c>
      <c r="G178" s="103">
        <f t="shared" si="230"/>
        <v>16.812684000000001</v>
      </c>
      <c r="H178" s="104" t="s">
        <v>161</v>
      </c>
      <c r="I178" s="125">
        <v>0.11</v>
      </c>
      <c r="J178" s="114">
        <f t="shared" si="231"/>
        <v>1.84939524</v>
      </c>
      <c r="K178" s="115">
        <f>'LABOR SHEET'!C$8</f>
        <v>79.3</v>
      </c>
      <c r="L178" s="116">
        <f t="shared" si="232"/>
        <v>8.7230000000000008</v>
      </c>
      <c r="M178" s="116">
        <f t="shared" si="233"/>
        <v>146.65704253199999</v>
      </c>
      <c r="N178" s="126">
        <v>0.5</v>
      </c>
      <c r="O178" s="116">
        <f t="shared" si="234"/>
        <v>8.4063420000000004</v>
      </c>
      <c r="P178" s="116">
        <f t="shared" si="235"/>
        <v>9.2230000000000008</v>
      </c>
      <c r="Q178" s="150">
        <f t="shared" si="236"/>
        <v>155.06338453199999</v>
      </c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  <c r="AH178" s="180"/>
      <c r="AI178" s="180"/>
      <c r="AJ178" s="180"/>
    </row>
    <row r="179" spans="1:36" s="29" customFormat="1">
      <c r="A179" s="162">
        <f>IF(F179&lt;&gt;"",1+MAX($A$2:A178),"")</f>
        <v>108</v>
      </c>
      <c r="B179" s="165"/>
      <c r="C179" s="56"/>
      <c r="D179" s="173" t="s">
        <v>169</v>
      </c>
      <c r="E179" s="174">
        <f>13.36*9</f>
        <v>120.24</v>
      </c>
      <c r="F179" s="102">
        <v>0.1</v>
      </c>
      <c r="G179" s="103">
        <f t="shared" si="230"/>
        <v>132.26400000000001</v>
      </c>
      <c r="H179" s="157" t="s">
        <v>61</v>
      </c>
      <c r="I179" s="125">
        <v>2.1999999999999999E-2</v>
      </c>
      <c r="J179" s="114">
        <f t="shared" si="231"/>
        <v>2.909808</v>
      </c>
      <c r="K179" s="115">
        <f>'LABOR SHEET'!C$8</f>
        <v>79.3</v>
      </c>
      <c r="L179" s="116">
        <f t="shared" si="232"/>
        <v>1.7445999999999999</v>
      </c>
      <c r="M179" s="116">
        <f t="shared" si="233"/>
        <v>230.7477744</v>
      </c>
      <c r="N179" s="126">
        <v>1.38</v>
      </c>
      <c r="O179" s="116">
        <f t="shared" si="234"/>
        <v>182.52431999999999</v>
      </c>
      <c r="P179" s="116">
        <f t="shared" si="235"/>
        <v>3.1246</v>
      </c>
      <c r="Q179" s="150">
        <f t="shared" si="236"/>
        <v>413.27209440000001</v>
      </c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</row>
    <row r="180" spans="1:36" s="29" customFormat="1">
      <c r="A180" s="162">
        <f>IF(F180&lt;&gt;"",1+MAX($A$2:A179),"")</f>
        <v>109</v>
      </c>
      <c r="B180" s="165"/>
      <c r="C180" s="56"/>
      <c r="D180" s="155" t="s">
        <v>97</v>
      </c>
      <c r="E180" s="174">
        <f>ROUNDUP(E179/32,0)</f>
        <v>4</v>
      </c>
      <c r="F180" s="102">
        <v>0</v>
      </c>
      <c r="G180" s="103">
        <f t="shared" si="230"/>
        <v>4</v>
      </c>
      <c r="H180" s="104" t="s">
        <v>55</v>
      </c>
      <c r="I180" s="125"/>
      <c r="J180" s="114"/>
      <c r="K180" s="115"/>
      <c r="L180" s="116"/>
      <c r="M180" s="116"/>
      <c r="N180" s="126"/>
      <c r="O180" s="116"/>
      <c r="P180" s="116"/>
      <c r="Q180" s="150"/>
      <c r="R180" s="180"/>
      <c r="S180" s="180"/>
      <c r="T180" s="180"/>
      <c r="U180" s="180"/>
      <c r="V180" s="180"/>
      <c r="W180" s="180"/>
      <c r="X180" s="180"/>
      <c r="Y180" s="180"/>
      <c r="Z180" s="180"/>
      <c r="AA180" s="180"/>
      <c r="AB180" s="180"/>
      <c r="AC180" s="180"/>
      <c r="AD180" s="180"/>
      <c r="AE180" s="180"/>
      <c r="AF180" s="180"/>
      <c r="AG180" s="180"/>
      <c r="AH180" s="180"/>
      <c r="AI180" s="180"/>
      <c r="AJ180" s="180"/>
    </row>
    <row r="181" spans="1:36" s="29" customFormat="1">
      <c r="A181" s="162">
        <f>IF(F181&lt;&gt;"",1+MAX($A$2:A180),"")</f>
        <v>110</v>
      </c>
      <c r="B181" s="165"/>
      <c r="C181" s="56"/>
      <c r="D181" s="155" t="s">
        <v>158</v>
      </c>
      <c r="E181" s="174">
        <f>ROUNDUP(E179*1.33,0)</f>
        <v>160</v>
      </c>
      <c r="F181" s="102">
        <v>0</v>
      </c>
      <c r="G181" s="103">
        <f t="shared" si="230"/>
        <v>160</v>
      </c>
      <c r="H181" s="104" t="s">
        <v>55</v>
      </c>
      <c r="I181" s="125">
        <v>2E-3</v>
      </c>
      <c r="J181" s="114">
        <f t="shared" ref="J181" si="249">+I181*G181</f>
        <v>0.32</v>
      </c>
      <c r="K181" s="115">
        <f>'LABOR SHEET'!C$8</f>
        <v>79.3</v>
      </c>
      <c r="L181" s="116">
        <f t="shared" ref="L181" si="250">I181*K181</f>
        <v>0.15859999999999999</v>
      </c>
      <c r="M181" s="116">
        <f t="shared" ref="M181" si="251">K181*J181</f>
        <v>25.376000000000001</v>
      </c>
      <c r="N181" s="176">
        <v>0.06</v>
      </c>
      <c r="O181" s="116">
        <f t="shared" ref="O181" si="252">N181*G181</f>
        <v>9.6</v>
      </c>
      <c r="P181" s="116">
        <f t="shared" ref="P181" si="253">(I181*K181)+N181</f>
        <v>0.21859999999999999</v>
      </c>
      <c r="Q181" s="150">
        <f t="shared" ref="Q181" si="254">P181*G181</f>
        <v>34.975999999999999</v>
      </c>
      <c r="R181" s="180"/>
      <c r="S181" s="180"/>
      <c r="T181" s="180"/>
      <c r="U181" s="180"/>
      <c r="V181" s="180"/>
      <c r="W181" s="180"/>
      <c r="X181" s="180"/>
      <c r="Y181" s="180"/>
      <c r="Z181" s="180"/>
      <c r="AA181" s="180"/>
      <c r="AB181" s="180"/>
      <c r="AC181" s="180"/>
      <c r="AD181" s="180"/>
      <c r="AE181" s="180"/>
      <c r="AF181" s="180"/>
      <c r="AG181" s="180"/>
      <c r="AH181" s="180"/>
      <c r="AI181" s="180"/>
      <c r="AJ181" s="180"/>
    </row>
    <row r="182" spans="1:36" s="29" customFormat="1">
      <c r="A182" s="162">
        <f>IF(F182&lt;&gt;"",1+MAX($A$2:A181),"")</f>
        <v>111</v>
      </c>
      <c r="B182" s="165"/>
      <c r="C182" s="56"/>
      <c r="D182" s="155" t="s">
        <v>159</v>
      </c>
      <c r="E182" s="174">
        <f>ROUNDUP(E180*16,0)</f>
        <v>64</v>
      </c>
      <c r="F182" s="102">
        <v>0.05</v>
      </c>
      <c r="G182" s="103">
        <f t="shared" si="230"/>
        <v>67.2</v>
      </c>
      <c r="H182" s="104" t="s">
        <v>64</v>
      </c>
      <c r="I182" s="125">
        <v>1.0999999999999999E-2</v>
      </c>
      <c r="J182" s="114">
        <f t="shared" si="231"/>
        <v>0.73919999999999997</v>
      </c>
      <c r="K182" s="115">
        <f>'LABOR SHEET'!C$8</f>
        <v>79.3</v>
      </c>
      <c r="L182" s="116">
        <f t="shared" si="232"/>
        <v>0.87229999999999996</v>
      </c>
      <c r="M182" s="116">
        <f t="shared" si="233"/>
        <v>58.618560000000002</v>
      </c>
      <c r="N182" s="176">
        <v>0.03</v>
      </c>
      <c r="O182" s="116">
        <f t="shared" si="234"/>
        <v>2.016</v>
      </c>
      <c r="P182" s="116">
        <f t="shared" si="235"/>
        <v>0.90229999999999999</v>
      </c>
      <c r="Q182" s="150">
        <f t="shared" si="236"/>
        <v>60.63456</v>
      </c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  <c r="AB182" s="180"/>
      <c r="AC182" s="180"/>
      <c r="AD182" s="180"/>
      <c r="AE182" s="180"/>
      <c r="AF182" s="180"/>
      <c r="AG182" s="180"/>
      <c r="AH182" s="180"/>
      <c r="AI182" s="180"/>
      <c r="AJ182" s="180"/>
    </row>
    <row r="183" spans="1:36" s="29" customFormat="1">
      <c r="A183" s="162">
        <f>IF(F183&lt;&gt;"",1+MAX($A$2:A182),"")</f>
        <v>112</v>
      </c>
      <c r="B183" s="165"/>
      <c r="C183" s="56"/>
      <c r="D183" s="155" t="s">
        <v>160</v>
      </c>
      <c r="E183" s="174">
        <f>E179*0.084</f>
        <v>10.100160000000001</v>
      </c>
      <c r="F183" s="55">
        <v>0.05</v>
      </c>
      <c r="G183" s="103">
        <f t="shared" si="230"/>
        <v>10.605168000000001</v>
      </c>
      <c r="H183" s="104" t="s">
        <v>161</v>
      </c>
      <c r="I183" s="125">
        <v>0.11</v>
      </c>
      <c r="J183" s="114">
        <f t="shared" si="231"/>
        <v>1.16656848</v>
      </c>
      <c r="K183" s="115">
        <f>'LABOR SHEET'!C$8</f>
        <v>79.3</v>
      </c>
      <c r="L183" s="116">
        <f t="shared" si="232"/>
        <v>8.7230000000000008</v>
      </c>
      <c r="M183" s="116">
        <f t="shared" si="233"/>
        <v>92.508880464000001</v>
      </c>
      <c r="N183" s="126">
        <v>0.5</v>
      </c>
      <c r="O183" s="116">
        <f t="shared" si="234"/>
        <v>5.3025840000000004</v>
      </c>
      <c r="P183" s="116">
        <f t="shared" si="235"/>
        <v>9.2230000000000008</v>
      </c>
      <c r="Q183" s="150">
        <f t="shared" si="236"/>
        <v>97.811464463999997</v>
      </c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180"/>
    </row>
    <row r="184" spans="1:36" s="29" customFormat="1">
      <c r="A184" s="162">
        <f>IF(F184&lt;&gt;"",1+MAX($A$2:A183),"")</f>
        <v>113</v>
      </c>
      <c r="B184" s="165"/>
      <c r="C184" s="56"/>
      <c r="D184" s="173" t="s">
        <v>111</v>
      </c>
      <c r="E184" s="174">
        <f>+E168*9</f>
        <v>468.72</v>
      </c>
      <c r="F184" s="102">
        <v>0.1</v>
      </c>
      <c r="G184" s="103">
        <f t="shared" si="230"/>
        <v>515.59199999999998</v>
      </c>
      <c r="H184" s="157" t="s">
        <v>61</v>
      </c>
      <c r="I184" s="125">
        <v>0.01</v>
      </c>
      <c r="J184" s="114">
        <f t="shared" si="231"/>
        <v>5.1559200000000001</v>
      </c>
      <c r="K184" s="115">
        <f>'LABOR SHEET'!C$8</f>
        <v>79.3</v>
      </c>
      <c r="L184" s="116">
        <f t="shared" si="232"/>
        <v>0.79300000000000004</v>
      </c>
      <c r="M184" s="116">
        <f t="shared" si="233"/>
        <v>408.86445600000002</v>
      </c>
      <c r="N184" s="126">
        <v>1.1100000000000001</v>
      </c>
      <c r="O184" s="116">
        <f t="shared" si="234"/>
        <v>572.30712000000005</v>
      </c>
      <c r="P184" s="116">
        <f t="shared" si="235"/>
        <v>1.903</v>
      </c>
      <c r="Q184" s="150">
        <f t="shared" si="236"/>
        <v>981.17157599999996</v>
      </c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  <c r="AB184" s="180"/>
      <c r="AC184" s="180"/>
      <c r="AD184" s="180"/>
      <c r="AE184" s="180"/>
      <c r="AF184" s="180"/>
      <c r="AG184" s="180"/>
      <c r="AH184" s="180"/>
      <c r="AI184" s="180"/>
      <c r="AJ184" s="180"/>
    </row>
    <row r="185" spans="1:36" s="29" customFormat="1">
      <c r="A185" s="162">
        <f>IF(F185&lt;&gt;"",1+MAX($A$2:A184),"")</f>
        <v>114</v>
      </c>
      <c r="B185" s="165"/>
      <c r="C185" s="56"/>
      <c r="D185" s="173" t="s">
        <v>170</v>
      </c>
      <c r="E185" s="174">
        <f>+ROUNDUP(E168/1.33,0)*9</f>
        <v>360</v>
      </c>
      <c r="F185" s="102">
        <v>0.05</v>
      </c>
      <c r="G185" s="103">
        <f t="shared" si="230"/>
        <v>378</v>
      </c>
      <c r="H185" s="157" t="s">
        <v>64</v>
      </c>
      <c r="I185" s="125">
        <v>1.7999999999999999E-2</v>
      </c>
      <c r="J185" s="114">
        <f t="shared" si="231"/>
        <v>6.8040000000000003</v>
      </c>
      <c r="K185" s="115">
        <f>'LABOR SHEET'!C$8</f>
        <v>79.3</v>
      </c>
      <c r="L185" s="116">
        <f t="shared" si="232"/>
        <v>1.4274</v>
      </c>
      <c r="M185" s="116">
        <f t="shared" si="233"/>
        <v>539.55719999999997</v>
      </c>
      <c r="N185" s="126">
        <v>1.4</v>
      </c>
      <c r="O185" s="116">
        <f t="shared" si="234"/>
        <v>529.20000000000005</v>
      </c>
      <c r="P185" s="116">
        <f t="shared" si="235"/>
        <v>2.8273999999999999</v>
      </c>
      <c r="Q185" s="150">
        <f t="shared" si="236"/>
        <v>1068.7572</v>
      </c>
      <c r="R185" s="180"/>
      <c r="S185" s="180"/>
      <c r="T185" s="180"/>
      <c r="U185" s="180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0"/>
    </row>
    <row r="186" spans="1:36" s="29" customFormat="1">
      <c r="A186" s="162">
        <f>IF(F186&lt;&gt;"",1+MAX($A$2:A185),"")</f>
        <v>115</v>
      </c>
      <c r="B186" s="165"/>
      <c r="C186" s="56"/>
      <c r="D186" s="173" t="s">
        <v>171</v>
      </c>
      <c r="E186" s="174">
        <f>E168*3</f>
        <v>156.24</v>
      </c>
      <c r="F186" s="102">
        <v>0.05</v>
      </c>
      <c r="G186" s="103">
        <f t="shared" si="230"/>
        <v>164.05199999999999</v>
      </c>
      <c r="H186" s="157" t="s">
        <v>64</v>
      </c>
      <c r="I186" s="125">
        <v>1.7999999999999999E-2</v>
      </c>
      <c r="J186" s="114">
        <f t="shared" si="231"/>
        <v>2.9529359999999998</v>
      </c>
      <c r="K186" s="115">
        <f>'LABOR SHEET'!C$8</f>
        <v>79.3</v>
      </c>
      <c r="L186" s="116">
        <f t="shared" si="232"/>
        <v>1.4274</v>
      </c>
      <c r="M186" s="116">
        <f t="shared" si="233"/>
        <v>234.16782480000001</v>
      </c>
      <c r="N186" s="126">
        <v>1.4</v>
      </c>
      <c r="O186" s="116">
        <f t="shared" si="234"/>
        <v>229.6728</v>
      </c>
      <c r="P186" s="116">
        <f t="shared" si="235"/>
        <v>2.8273999999999999</v>
      </c>
      <c r="Q186" s="150">
        <f t="shared" si="236"/>
        <v>463.8406248</v>
      </c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</row>
    <row r="187" spans="1:36" s="29" customFormat="1">
      <c r="A187" s="162">
        <f>IF(F187&lt;&gt;"",1+MAX($A$2:A186),"")</f>
        <v>116</v>
      </c>
      <c r="B187" s="165"/>
      <c r="C187" s="56"/>
      <c r="D187" s="173" t="s">
        <v>172</v>
      </c>
      <c r="E187" s="174">
        <f>E168*1</f>
        <v>52.08</v>
      </c>
      <c r="F187" s="102">
        <v>0.05</v>
      </c>
      <c r="G187" s="103">
        <f t="shared" si="230"/>
        <v>54.683999999999997</v>
      </c>
      <c r="H187" s="157" t="s">
        <v>64</v>
      </c>
      <c r="I187" s="125">
        <v>1.7999999999999999E-2</v>
      </c>
      <c r="J187" s="114">
        <f t="shared" si="231"/>
        <v>0.98431199999999996</v>
      </c>
      <c r="K187" s="115">
        <f>'LABOR SHEET'!C$8</f>
        <v>79.3</v>
      </c>
      <c r="L187" s="116">
        <f t="shared" si="232"/>
        <v>1.4274</v>
      </c>
      <c r="M187" s="116">
        <f t="shared" si="233"/>
        <v>78.055941599999997</v>
      </c>
      <c r="N187" s="126">
        <v>1.7</v>
      </c>
      <c r="O187" s="116">
        <f t="shared" si="234"/>
        <v>92.962800000000001</v>
      </c>
      <c r="P187" s="116">
        <f t="shared" si="235"/>
        <v>3.1274000000000002</v>
      </c>
      <c r="Q187" s="150">
        <f t="shared" si="236"/>
        <v>171.0187416</v>
      </c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</row>
    <row r="188" spans="1:36" s="29" customFormat="1">
      <c r="A188" s="162">
        <f>IF(F188&lt;&gt;"",1+MAX($A$2:A187),"")</f>
        <v>117</v>
      </c>
      <c r="B188" s="165"/>
      <c r="C188" s="56"/>
      <c r="D188" s="173" t="s">
        <v>166</v>
      </c>
      <c r="E188" s="174">
        <f>E168*4</f>
        <v>208.32</v>
      </c>
      <c r="F188" s="102">
        <v>0.05</v>
      </c>
      <c r="G188" s="103">
        <f t="shared" si="230"/>
        <v>218.73599999999999</v>
      </c>
      <c r="H188" s="157" t="s">
        <v>64</v>
      </c>
      <c r="I188" s="125">
        <v>0.01</v>
      </c>
      <c r="J188" s="114">
        <f t="shared" si="231"/>
        <v>2.18736</v>
      </c>
      <c r="K188" s="115">
        <f>'LABOR SHEET'!C$8</f>
        <v>79.3</v>
      </c>
      <c r="L188" s="116">
        <f t="shared" si="232"/>
        <v>0.79300000000000004</v>
      </c>
      <c r="M188" s="116">
        <f t="shared" si="233"/>
        <v>173.45764800000001</v>
      </c>
      <c r="N188" s="126">
        <v>0.5</v>
      </c>
      <c r="O188" s="116">
        <f t="shared" si="234"/>
        <v>109.36799999999999</v>
      </c>
      <c r="P188" s="116">
        <f t="shared" si="235"/>
        <v>1.2929999999999999</v>
      </c>
      <c r="Q188" s="150">
        <f t="shared" si="236"/>
        <v>282.825648</v>
      </c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</row>
    <row r="189" spans="1:36" s="29" customFormat="1">
      <c r="A189" s="162" t="str">
        <f>IF(F189&lt;&gt;"",1+MAX($A$2:A188),"")</f>
        <v/>
      </c>
      <c r="B189" s="165"/>
      <c r="C189" s="56"/>
      <c r="D189" s="173" t="s">
        <v>151</v>
      </c>
      <c r="E189" s="174"/>
      <c r="F189" s="102"/>
      <c r="G189" s="103"/>
      <c r="H189" s="104"/>
      <c r="I189" s="113"/>
      <c r="J189" s="114"/>
      <c r="K189" s="115"/>
      <c r="L189" s="116"/>
      <c r="M189" s="116"/>
      <c r="N189" s="116"/>
      <c r="O189" s="116"/>
      <c r="P189" s="116"/>
      <c r="Q189" s="179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</row>
    <row r="190" spans="1:36" s="29" customFormat="1" ht="14.65" customHeight="1">
      <c r="A190" s="162" t="str">
        <f>IF(F190&lt;&gt;"",1+MAX($A$2:A189),"")</f>
        <v/>
      </c>
      <c r="B190" s="165"/>
      <c r="C190" s="56"/>
      <c r="D190" s="111" t="s">
        <v>173</v>
      </c>
      <c r="E190" s="164"/>
      <c r="F190" s="164"/>
      <c r="G190" s="164"/>
      <c r="H190" s="164"/>
      <c r="I190" s="113"/>
      <c r="J190" s="104"/>
      <c r="K190" s="104"/>
      <c r="L190" s="116"/>
      <c r="M190" s="116"/>
      <c r="N190" s="116"/>
      <c r="O190" s="116"/>
      <c r="P190" s="116"/>
      <c r="Q190" s="179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</row>
    <row r="191" spans="1:36" s="29" customFormat="1">
      <c r="A191" s="162">
        <f>IF(F191&lt;&gt;"",1+MAX($A$2:A190),"")</f>
        <v>118</v>
      </c>
      <c r="B191" s="165"/>
      <c r="C191" s="104"/>
      <c r="D191" s="53" t="s">
        <v>174</v>
      </c>
      <c r="E191" s="56">
        <v>608.66999999999996</v>
      </c>
      <c r="F191" s="102">
        <v>0.1</v>
      </c>
      <c r="G191" s="103">
        <f t="shared" ref="G191:G192" si="255">E191*(1+F191)</f>
        <v>669.53700000000003</v>
      </c>
      <c r="H191" s="104" t="s">
        <v>61</v>
      </c>
      <c r="I191" s="125">
        <v>3.7999999999999999E-2</v>
      </c>
      <c r="J191" s="114">
        <f t="shared" ref="J191" si="256">+I191*G191</f>
        <v>25.442405999999998</v>
      </c>
      <c r="K191" s="115">
        <f>'LABOR SHEET'!C$11</f>
        <v>65.900000000000006</v>
      </c>
      <c r="L191" s="116">
        <f t="shared" ref="L191" si="257">I191*K191</f>
        <v>2.5042</v>
      </c>
      <c r="M191" s="116">
        <f t="shared" ref="M191" si="258">K191*J191</f>
        <v>1676.6545553999999</v>
      </c>
      <c r="N191" s="126">
        <v>4.4000000000000004</v>
      </c>
      <c r="O191" s="116">
        <f t="shared" ref="O191" si="259">N191*G191</f>
        <v>2945.9627999999998</v>
      </c>
      <c r="P191" s="116">
        <f t="shared" ref="P191" si="260">(I191*K191)+N191</f>
        <v>6.9042000000000003</v>
      </c>
      <c r="Q191" s="150">
        <f t="shared" ref="Q191" si="261">P191*G191</f>
        <v>4622.6173553999997</v>
      </c>
    </row>
    <row r="192" spans="1:36" s="29" customFormat="1">
      <c r="A192" s="162">
        <f>IF(F192&lt;&gt;"",1+MAX($A$2:A191),"")</f>
        <v>119</v>
      </c>
      <c r="B192" s="165"/>
      <c r="C192" s="104"/>
      <c r="D192" s="53" t="s">
        <v>175</v>
      </c>
      <c r="E192" s="56">
        <v>82.25</v>
      </c>
      <c r="F192" s="102">
        <v>0.1</v>
      </c>
      <c r="G192" s="103">
        <f t="shared" si="255"/>
        <v>90.474999999999994</v>
      </c>
      <c r="H192" s="104" t="s">
        <v>61</v>
      </c>
      <c r="I192" s="125">
        <v>5.8000000000000003E-2</v>
      </c>
      <c r="J192" s="114">
        <f t="shared" ref="J192" si="262">+I192*G192</f>
        <v>5.2475500000000004</v>
      </c>
      <c r="K192" s="115">
        <f>'LABOR SHEET'!C$11</f>
        <v>65.900000000000006</v>
      </c>
      <c r="L192" s="116">
        <f t="shared" ref="L192" si="263">I192*K192</f>
        <v>3.8222</v>
      </c>
      <c r="M192" s="116">
        <f t="shared" ref="M192" si="264">K192*J192</f>
        <v>345.81354499999998</v>
      </c>
      <c r="N192" s="126">
        <v>8.5</v>
      </c>
      <c r="O192" s="116">
        <f t="shared" ref="O192" si="265">N192*G192</f>
        <v>769.03750000000002</v>
      </c>
      <c r="P192" s="116">
        <f t="shared" ref="P192" si="266">(I192*K192)+N192</f>
        <v>12.3222</v>
      </c>
      <c r="Q192" s="150">
        <f t="shared" ref="Q192" si="267">P192*G192</f>
        <v>1114.8510450000001</v>
      </c>
    </row>
    <row r="193" spans="1:36" s="29" customFormat="1">
      <c r="A193" s="162" t="str">
        <f>IF(F193&lt;&gt;"",1+MAX($A$2:A192),"")</f>
        <v/>
      </c>
      <c r="B193" s="165"/>
      <c r="C193" s="104"/>
      <c r="D193" s="112" t="s">
        <v>151</v>
      </c>
      <c r="E193" s="174"/>
      <c r="F193" s="102"/>
      <c r="G193" s="103"/>
      <c r="H193" s="104"/>
      <c r="I193" s="125"/>
      <c r="J193" s="114"/>
      <c r="K193" s="115"/>
      <c r="L193" s="116"/>
      <c r="M193" s="116"/>
      <c r="N193" s="126"/>
      <c r="O193" s="116"/>
      <c r="P193" s="116"/>
      <c r="Q193" s="179"/>
    </row>
    <row r="194" spans="1:36" s="29" customFormat="1" ht="14.65" customHeight="1">
      <c r="A194" s="162" t="str">
        <f>IF(F194&lt;&gt;"",1+MAX($A$2:A193),"")</f>
        <v/>
      </c>
      <c r="B194" s="165"/>
      <c r="C194" s="56"/>
      <c r="D194" s="111" t="s">
        <v>176</v>
      </c>
      <c r="E194" s="164"/>
      <c r="F194" s="164"/>
      <c r="G194" s="164"/>
      <c r="H194" s="164"/>
      <c r="I194" s="125"/>
      <c r="J194" s="104"/>
      <c r="K194" s="104"/>
      <c r="L194" s="116"/>
      <c r="M194" s="116"/>
      <c r="N194" s="126"/>
      <c r="O194" s="116"/>
      <c r="P194" s="116"/>
      <c r="Q194" s="179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</row>
    <row r="195" spans="1:36" s="29" customFormat="1">
      <c r="A195" s="162">
        <f>IF(F195&lt;&gt;"",1+MAX($A$2:A194),"")</f>
        <v>120</v>
      </c>
      <c r="B195" s="165"/>
      <c r="C195" s="104"/>
      <c r="D195" s="181" t="s">
        <v>177</v>
      </c>
      <c r="E195" s="182">
        <f>4*2*17</f>
        <v>136</v>
      </c>
      <c r="F195" s="102">
        <v>0.05</v>
      </c>
      <c r="G195" s="103">
        <f t="shared" ref="G195:G196" si="268">E195*(1+F195)</f>
        <v>142.80000000000001</v>
      </c>
      <c r="H195" s="104" t="s">
        <v>64</v>
      </c>
      <c r="I195" s="125">
        <v>2.4E-2</v>
      </c>
      <c r="J195" s="114">
        <f t="shared" ref="J195:J196" si="269">+I195*G195</f>
        <v>3.4272</v>
      </c>
      <c r="K195" s="115">
        <f>'LABOR SHEET'!C$11</f>
        <v>65.900000000000006</v>
      </c>
      <c r="L195" s="116">
        <f t="shared" ref="L195:L196" si="270">I195*K195</f>
        <v>1.5815999999999999</v>
      </c>
      <c r="M195" s="116">
        <f t="shared" ref="M195:M196" si="271">K195*J195</f>
        <v>225.85248000000001</v>
      </c>
      <c r="N195" s="126">
        <v>2.1</v>
      </c>
      <c r="O195" s="116">
        <f t="shared" ref="O195:O196" si="272">N195*G195</f>
        <v>299.88</v>
      </c>
      <c r="P195" s="116">
        <f t="shared" ref="P195:P196" si="273">(I195*K195)+N195</f>
        <v>3.6816</v>
      </c>
      <c r="Q195" s="150">
        <f t="shared" ref="Q195:Q196" si="274">P195*G195</f>
        <v>525.73248000000001</v>
      </c>
    </row>
    <row r="196" spans="1:36" s="29" customFormat="1">
      <c r="A196" s="162">
        <f>IF(F196&lt;&gt;"",1+MAX($A$2:A195),"")</f>
        <v>121</v>
      </c>
      <c r="B196" s="165"/>
      <c r="C196" s="104"/>
      <c r="D196" s="53" t="s">
        <v>178</v>
      </c>
      <c r="E196" s="56">
        <v>180.99</v>
      </c>
      <c r="F196" s="102">
        <v>0.05</v>
      </c>
      <c r="G196" s="103">
        <f t="shared" si="268"/>
        <v>190.0395</v>
      </c>
      <c r="H196" s="104" t="s">
        <v>64</v>
      </c>
      <c r="I196" s="125">
        <v>2.5999999999999999E-2</v>
      </c>
      <c r="J196" s="114">
        <f t="shared" si="269"/>
        <v>4.9410270000000001</v>
      </c>
      <c r="K196" s="115">
        <f>'LABOR SHEET'!C$11</f>
        <v>65.900000000000006</v>
      </c>
      <c r="L196" s="116">
        <f t="shared" si="270"/>
        <v>1.7134</v>
      </c>
      <c r="M196" s="116">
        <f t="shared" si="271"/>
        <v>325.6136793</v>
      </c>
      <c r="N196" s="126">
        <v>2.35</v>
      </c>
      <c r="O196" s="116">
        <f t="shared" si="272"/>
        <v>446.592825</v>
      </c>
      <c r="P196" s="116">
        <f t="shared" si="273"/>
        <v>4.0633999999999997</v>
      </c>
      <c r="Q196" s="150">
        <f t="shared" si="274"/>
        <v>772.20650430000001</v>
      </c>
    </row>
    <row r="197" spans="1:36" s="29" customFormat="1">
      <c r="A197" s="162" t="str">
        <f>IF(F197&lt;&gt;"",1+MAX($A$2:A196),"")</f>
        <v/>
      </c>
      <c r="B197" s="165"/>
      <c r="C197" s="104"/>
      <c r="D197" s="112" t="s">
        <v>151</v>
      </c>
      <c r="E197" s="174"/>
      <c r="F197" s="102"/>
      <c r="G197" s="103"/>
      <c r="H197" s="104"/>
      <c r="I197" s="125"/>
      <c r="J197" s="114"/>
      <c r="K197" s="115"/>
      <c r="L197" s="116"/>
      <c r="M197" s="116"/>
      <c r="N197" s="126"/>
      <c r="O197" s="116"/>
      <c r="P197" s="116"/>
      <c r="Q197" s="179"/>
    </row>
    <row r="198" spans="1:36" s="29" customFormat="1" ht="14.65" customHeight="1">
      <c r="A198" s="162" t="str">
        <f>IF(F198&lt;&gt;"",1+MAX($A$2:A197),"")</f>
        <v/>
      </c>
      <c r="B198" s="165"/>
      <c r="C198" s="56"/>
      <c r="D198" s="111" t="s">
        <v>179</v>
      </c>
      <c r="E198" s="164"/>
      <c r="F198" s="164"/>
      <c r="G198" s="164"/>
      <c r="H198" s="164"/>
      <c r="I198" s="125"/>
      <c r="J198" s="104"/>
      <c r="K198" s="104"/>
      <c r="L198" s="116"/>
      <c r="M198" s="116"/>
      <c r="N198" s="126"/>
      <c r="O198" s="116"/>
      <c r="P198" s="116"/>
      <c r="Q198" s="179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  <c r="AB198" s="180"/>
      <c r="AC198" s="180"/>
      <c r="AD198" s="180"/>
      <c r="AE198" s="180"/>
      <c r="AF198" s="180"/>
      <c r="AG198" s="180"/>
      <c r="AH198" s="180"/>
      <c r="AI198" s="180"/>
      <c r="AJ198" s="180"/>
    </row>
    <row r="199" spans="1:36" s="29" customFormat="1">
      <c r="A199" s="162">
        <f>IF(F199&lt;&gt;"",1+MAX($A$2:A198),"")</f>
        <v>122</v>
      </c>
      <c r="B199" s="165"/>
      <c r="C199" s="104"/>
      <c r="D199" s="53" t="s">
        <v>180</v>
      </c>
      <c r="E199" s="56">
        <v>606.5</v>
      </c>
      <c r="F199" s="102">
        <v>0.1</v>
      </c>
      <c r="G199" s="103">
        <f t="shared" ref="G199:G209" si="275">E199*(1+F199)</f>
        <v>667.15</v>
      </c>
      <c r="H199" s="104" t="s">
        <v>61</v>
      </c>
      <c r="I199" s="125">
        <v>2.7E-2</v>
      </c>
      <c r="J199" s="114">
        <f t="shared" ref="J199:J209" si="276">+I199*G199</f>
        <v>18.01305</v>
      </c>
      <c r="K199" s="115">
        <f>'LABOR SHEET'!C$8</f>
        <v>79.3</v>
      </c>
      <c r="L199" s="116">
        <f t="shared" ref="L199:L209" si="277">I199*K199</f>
        <v>2.1410999999999998</v>
      </c>
      <c r="M199" s="116">
        <f t="shared" ref="M199:M209" si="278">K199*J199</f>
        <v>1428.4348649999999</v>
      </c>
      <c r="N199" s="126">
        <v>0.495</v>
      </c>
      <c r="O199" s="116">
        <f t="shared" ref="O199:O209" si="279">N199*G199</f>
        <v>330.23925000000003</v>
      </c>
      <c r="P199" s="116">
        <f t="shared" ref="P199:P209" si="280">(I199*K199)+N199</f>
        <v>2.6360999999999999</v>
      </c>
      <c r="Q199" s="150">
        <f t="shared" ref="Q199:Q209" si="281">P199*G199</f>
        <v>1758.674115</v>
      </c>
    </row>
    <row r="200" spans="1:36" s="29" customFormat="1">
      <c r="A200" s="162">
        <f>IF(F200&lt;&gt;"",1+MAX($A$2:A199),"")</f>
        <v>123</v>
      </c>
      <c r="B200" s="165"/>
      <c r="C200" s="56"/>
      <c r="D200" s="155" t="s">
        <v>97</v>
      </c>
      <c r="E200" s="174">
        <f>ROUNDUP(E199/32,0)</f>
        <v>19</v>
      </c>
      <c r="F200" s="102">
        <v>0</v>
      </c>
      <c r="G200" s="103">
        <f t="shared" si="275"/>
        <v>19</v>
      </c>
      <c r="H200" s="104" t="s">
        <v>55</v>
      </c>
      <c r="I200" s="125"/>
      <c r="J200" s="114"/>
      <c r="K200" s="115"/>
      <c r="L200" s="116"/>
      <c r="M200" s="116"/>
      <c r="N200" s="126"/>
      <c r="O200" s="116"/>
      <c r="P200" s="116"/>
      <c r="Q200" s="150"/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  <c r="AB200" s="180"/>
      <c r="AC200" s="180"/>
      <c r="AD200" s="180"/>
      <c r="AE200" s="180"/>
      <c r="AF200" s="180"/>
      <c r="AG200" s="180"/>
      <c r="AH200" s="180"/>
      <c r="AI200" s="180"/>
      <c r="AJ200" s="180"/>
    </row>
    <row r="201" spans="1:36" s="29" customFormat="1">
      <c r="A201" s="162">
        <f>IF(F201&lt;&gt;"",1+MAX($A$2:A200),"")</f>
        <v>124</v>
      </c>
      <c r="B201" s="165"/>
      <c r="C201" s="56"/>
      <c r="D201" s="155" t="s">
        <v>158</v>
      </c>
      <c r="E201" s="174">
        <f>ROUNDUP(E199*1.33,0)</f>
        <v>807</v>
      </c>
      <c r="F201" s="102">
        <v>0</v>
      </c>
      <c r="G201" s="103">
        <f t="shared" si="275"/>
        <v>807</v>
      </c>
      <c r="H201" s="104" t="s">
        <v>55</v>
      </c>
      <c r="I201" s="125">
        <v>2E-3</v>
      </c>
      <c r="J201" s="114">
        <f t="shared" ref="J201" si="282">+I201*G201</f>
        <v>1.6140000000000001</v>
      </c>
      <c r="K201" s="115">
        <f>'LABOR SHEET'!C$8</f>
        <v>79.3</v>
      </c>
      <c r="L201" s="116">
        <f t="shared" ref="L201" si="283">I201*K201</f>
        <v>0.15859999999999999</v>
      </c>
      <c r="M201" s="116">
        <f t="shared" ref="M201" si="284">K201*J201</f>
        <v>127.9902</v>
      </c>
      <c r="N201" s="176">
        <v>0.06</v>
      </c>
      <c r="O201" s="116">
        <f t="shared" ref="O201" si="285">N201*G201</f>
        <v>48.42</v>
      </c>
      <c r="P201" s="116">
        <f t="shared" ref="P201" si="286">(I201*K201)+N201</f>
        <v>0.21859999999999999</v>
      </c>
      <c r="Q201" s="150">
        <f t="shared" ref="Q201" si="287">P201*G201</f>
        <v>176.4102</v>
      </c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  <c r="AB201" s="180"/>
      <c r="AC201" s="180"/>
      <c r="AD201" s="180"/>
      <c r="AE201" s="180"/>
      <c r="AF201" s="180"/>
      <c r="AG201" s="180"/>
      <c r="AH201" s="180"/>
      <c r="AI201" s="180"/>
      <c r="AJ201" s="180"/>
    </row>
    <row r="202" spans="1:36" s="29" customFormat="1">
      <c r="A202" s="162">
        <f>IF(F202&lt;&gt;"",1+MAX($A$2:A201),"")</f>
        <v>125</v>
      </c>
      <c r="B202" s="165"/>
      <c r="C202" s="56"/>
      <c r="D202" s="155" t="s">
        <v>159</v>
      </c>
      <c r="E202" s="174">
        <f>ROUNDUP(E200*16,0)</f>
        <v>304</v>
      </c>
      <c r="F202" s="102">
        <v>0.05</v>
      </c>
      <c r="G202" s="103">
        <f t="shared" si="275"/>
        <v>319.2</v>
      </c>
      <c r="H202" s="104" t="s">
        <v>64</v>
      </c>
      <c r="I202" s="125">
        <v>1.0999999999999999E-2</v>
      </c>
      <c r="J202" s="114">
        <f t="shared" si="276"/>
        <v>3.5112000000000001</v>
      </c>
      <c r="K202" s="115">
        <f>'LABOR SHEET'!C$8</f>
        <v>79.3</v>
      </c>
      <c r="L202" s="116">
        <f t="shared" si="277"/>
        <v>0.87229999999999996</v>
      </c>
      <c r="M202" s="116">
        <f t="shared" si="278"/>
        <v>278.43815999999998</v>
      </c>
      <c r="N202" s="176">
        <v>0.03</v>
      </c>
      <c r="O202" s="116">
        <f t="shared" si="279"/>
        <v>9.5760000000000005</v>
      </c>
      <c r="P202" s="116">
        <f t="shared" si="280"/>
        <v>0.90229999999999999</v>
      </c>
      <c r="Q202" s="150">
        <f t="shared" si="281"/>
        <v>288.01416</v>
      </c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  <c r="AB202" s="180"/>
      <c r="AC202" s="180"/>
      <c r="AD202" s="180"/>
      <c r="AE202" s="180"/>
      <c r="AF202" s="180"/>
      <c r="AG202" s="180"/>
      <c r="AH202" s="180"/>
      <c r="AI202" s="180"/>
      <c r="AJ202" s="180"/>
    </row>
    <row r="203" spans="1:36" s="29" customFormat="1">
      <c r="A203" s="162">
        <f>IF(F203&lt;&gt;"",1+MAX($A$2:A202),"")</f>
        <v>126</v>
      </c>
      <c r="B203" s="165"/>
      <c r="C203" s="56"/>
      <c r="D203" s="155" t="s">
        <v>160</v>
      </c>
      <c r="E203" s="174">
        <f>E199*0.084</f>
        <v>50.945999999999998</v>
      </c>
      <c r="F203" s="55">
        <v>0.05</v>
      </c>
      <c r="G203" s="103">
        <f t="shared" si="275"/>
        <v>53.493299999999998</v>
      </c>
      <c r="H203" s="104" t="s">
        <v>161</v>
      </c>
      <c r="I203" s="125">
        <v>0.11</v>
      </c>
      <c r="J203" s="114">
        <f t="shared" si="276"/>
        <v>5.8842629999999998</v>
      </c>
      <c r="K203" s="115">
        <f>'LABOR SHEET'!C$8</f>
        <v>79.3</v>
      </c>
      <c r="L203" s="116">
        <f t="shared" si="277"/>
        <v>8.7230000000000008</v>
      </c>
      <c r="M203" s="116">
        <f t="shared" si="278"/>
        <v>466.62205590000002</v>
      </c>
      <c r="N203" s="126">
        <v>0.5</v>
      </c>
      <c r="O203" s="116">
        <f t="shared" si="279"/>
        <v>26.746649999999999</v>
      </c>
      <c r="P203" s="116">
        <f t="shared" si="280"/>
        <v>9.2230000000000008</v>
      </c>
      <c r="Q203" s="150">
        <f t="shared" si="281"/>
        <v>493.36870590000001</v>
      </c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  <c r="AD203" s="180"/>
      <c r="AE203" s="180"/>
      <c r="AF203" s="180"/>
      <c r="AG203" s="180"/>
      <c r="AH203" s="180"/>
      <c r="AI203" s="180"/>
      <c r="AJ203" s="180"/>
    </row>
    <row r="204" spans="1:36" s="29" customFormat="1">
      <c r="A204" s="162">
        <f>IF(F204&lt;&gt;"",1+MAX($A$2:A203),"")</f>
        <v>127</v>
      </c>
      <c r="B204" s="165"/>
      <c r="C204" s="104"/>
      <c r="D204" s="53" t="s">
        <v>181</v>
      </c>
      <c r="E204" s="56">
        <v>81.22</v>
      </c>
      <c r="F204" s="102">
        <v>0.1</v>
      </c>
      <c r="G204" s="103">
        <f t="shared" si="275"/>
        <v>89.341999999999999</v>
      </c>
      <c r="H204" s="104" t="s">
        <v>61</v>
      </c>
      <c r="I204" s="125">
        <v>2.9000000000000001E-2</v>
      </c>
      <c r="J204" s="114">
        <f t="shared" si="276"/>
        <v>2.5909179999999998</v>
      </c>
      <c r="K204" s="115">
        <f>'LABOR SHEET'!C$8</f>
        <v>79.3</v>
      </c>
      <c r="L204" s="116">
        <f t="shared" si="277"/>
        <v>2.2997000000000001</v>
      </c>
      <c r="M204" s="116">
        <f t="shared" si="278"/>
        <v>205.45979740000001</v>
      </c>
      <c r="N204" s="126">
        <v>0.74</v>
      </c>
      <c r="O204" s="116">
        <f t="shared" si="279"/>
        <v>66.113079999999997</v>
      </c>
      <c r="P204" s="116">
        <f t="shared" si="280"/>
        <v>3.0396999999999998</v>
      </c>
      <c r="Q204" s="150">
        <f t="shared" si="281"/>
        <v>271.57287739999998</v>
      </c>
    </row>
    <row r="205" spans="1:36" s="29" customFormat="1">
      <c r="A205" s="162">
        <f>IF(F205&lt;&gt;"",1+MAX($A$2:A204),"")</f>
        <v>128</v>
      </c>
      <c r="B205" s="165"/>
      <c r="C205" s="56"/>
      <c r="D205" s="155" t="s">
        <v>97</v>
      </c>
      <c r="E205" s="174">
        <f>ROUNDUP(E204/32,0)</f>
        <v>3</v>
      </c>
      <c r="F205" s="102">
        <v>0</v>
      </c>
      <c r="G205" s="103">
        <f t="shared" si="275"/>
        <v>3</v>
      </c>
      <c r="H205" s="104" t="s">
        <v>55</v>
      </c>
      <c r="I205" s="125"/>
      <c r="J205" s="114"/>
      <c r="K205" s="115"/>
      <c r="L205" s="116"/>
      <c r="M205" s="116"/>
      <c r="N205" s="126"/>
      <c r="O205" s="116"/>
      <c r="P205" s="116"/>
      <c r="Q205" s="15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</row>
    <row r="206" spans="1:36" s="29" customFormat="1">
      <c r="A206" s="162">
        <f>IF(F206&lt;&gt;"",1+MAX($A$2:A205),"")</f>
        <v>129</v>
      </c>
      <c r="B206" s="165"/>
      <c r="C206" s="56"/>
      <c r="D206" s="155" t="s">
        <v>158</v>
      </c>
      <c r="E206" s="174">
        <f>ROUNDUP(E204*1.33,0)</f>
        <v>109</v>
      </c>
      <c r="F206" s="102">
        <v>0</v>
      </c>
      <c r="G206" s="103">
        <f t="shared" si="275"/>
        <v>109</v>
      </c>
      <c r="H206" s="104" t="s">
        <v>55</v>
      </c>
      <c r="I206" s="125">
        <v>2E-3</v>
      </c>
      <c r="J206" s="114">
        <f t="shared" ref="J206" si="288">+I206*G206</f>
        <v>0.218</v>
      </c>
      <c r="K206" s="115">
        <f>'LABOR SHEET'!C$8</f>
        <v>79.3</v>
      </c>
      <c r="L206" s="116">
        <f t="shared" ref="L206" si="289">I206*K206</f>
        <v>0.15859999999999999</v>
      </c>
      <c r="M206" s="116">
        <f t="shared" ref="M206" si="290">K206*J206</f>
        <v>17.287400000000002</v>
      </c>
      <c r="N206" s="176">
        <v>0.06</v>
      </c>
      <c r="O206" s="116">
        <f t="shared" ref="O206" si="291">N206*G206</f>
        <v>6.54</v>
      </c>
      <c r="P206" s="116">
        <f t="shared" ref="P206" si="292">(I206*K206)+N206</f>
        <v>0.21859999999999999</v>
      </c>
      <c r="Q206" s="150">
        <f t="shared" ref="Q206" si="293">P206*G206</f>
        <v>23.827400000000001</v>
      </c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</row>
    <row r="207" spans="1:36" s="29" customFormat="1">
      <c r="A207" s="162">
        <f>IF(F207&lt;&gt;"",1+MAX($A$2:A206),"")</f>
        <v>130</v>
      </c>
      <c r="B207" s="165"/>
      <c r="C207" s="56"/>
      <c r="D207" s="155" t="s">
        <v>159</v>
      </c>
      <c r="E207" s="174">
        <f>ROUNDUP(E205*16,0)</f>
        <v>48</v>
      </c>
      <c r="F207" s="102">
        <v>0.05</v>
      </c>
      <c r="G207" s="103">
        <f t="shared" si="275"/>
        <v>50.4</v>
      </c>
      <c r="H207" s="104" t="s">
        <v>64</v>
      </c>
      <c r="I207" s="125">
        <v>1.0999999999999999E-2</v>
      </c>
      <c r="J207" s="114">
        <f t="shared" si="276"/>
        <v>0.5544</v>
      </c>
      <c r="K207" s="115">
        <f>'LABOR SHEET'!C$8</f>
        <v>79.3</v>
      </c>
      <c r="L207" s="116">
        <f t="shared" si="277"/>
        <v>0.87229999999999996</v>
      </c>
      <c r="M207" s="116">
        <f t="shared" si="278"/>
        <v>43.963920000000002</v>
      </c>
      <c r="N207" s="176">
        <v>0.03</v>
      </c>
      <c r="O207" s="116">
        <f t="shared" si="279"/>
        <v>1.512</v>
      </c>
      <c r="P207" s="116">
        <f t="shared" si="280"/>
        <v>0.90229999999999999</v>
      </c>
      <c r="Q207" s="150">
        <f t="shared" si="281"/>
        <v>45.475920000000002</v>
      </c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</row>
    <row r="208" spans="1:36" s="29" customFormat="1">
      <c r="A208" s="162">
        <f>IF(F208&lt;&gt;"",1+MAX($A$2:A207),"")</f>
        <v>131</v>
      </c>
      <c r="B208" s="165"/>
      <c r="C208" s="56"/>
      <c r="D208" s="155" t="s">
        <v>160</v>
      </c>
      <c r="E208" s="174">
        <f>E204*0.084</f>
        <v>6.8224799999999997</v>
      </c>
      <c r="F208" s="55">
        <v>0.05</v>
      </c>
      <c r="G208" s="103">
        <f t="shared" si="275"/>
        <v>7.1636040000000003</v>
      </c>
      <c r="H208" s="104" t="s">
        <v>161</v>
      </c>
      <c r="I208" s="125">
        <v>0.11</v>
      </c>
      <c r="J208" s="114">
        <f t="shared" si="276"/>
        <v>0.78799644000000002</v>
      </c>
      <c r="K208" s="115">
        <f>'LABOR SHEET'!C$8</f>
        <v>79.3</v>
      </c>
      <c r="L208" s="116">
        <f t="shared" si="277"/>
        <v>8.7230000000000008</v>
      </c>
      <c r="M208" s="116">
        <f t="shared" si="278"/>
        <v>62.488117692000003</v>
      </c>
      <c r="N208" s="126">
        <v>0.5</v>
      </c>
      <c r="O208" s="116">
        <f t="shared" si="279"/>
        <v>3.5818020000000002</v>
      </c>
      <c r="P208" s="116">
        <f t="shared" si="280"/>
        <v>9.2230000000000008</v>
      </c>
      <c r="Q208" s="150">
        <f t="shared" si="281"/>
        <v>66.069919691999999</v>
      </c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</row>
    <row r="209" spans="1:36" s="29" customFormat="1">
      <c r="A209" s="162">
        <f>IF(F209&lt;&gt;"",1+MAX($A$2:A208),"")</f>
        <v>132</v>
      </c>
      <c r="B209" s="165"/>
      <c r="C209" s="104"/>
      <c r="D209" s="53" t="s">
        <v>182</v>
      </c>
      <c r="E209" s="56">
        <f>+E199+E204</f>
        <v>687.72</v>
      </c>
      <c r="F209" s="102">
        <v>0.1</v>
      </c>
      <c r="G209" s="103">
        <f t="shared" si="275"/>
        <v>756.49199999999996</v>
      </c>
      <c r="H209" s="104" t="s">
        <v>61</v>
      </c>
      <c r="I209" s="125">
        <v>2.8000000000000001E-2</v>
      </c>
      <c r="J209" s="114">
        <f t="shared" si="276"/>
        <v>21.181775999999999</v>
      </c>
      <c r="K209" s="115">
        <f>'LABOR SHEET'!C$10</f>
        <v>71.8</v>
      </c>
      <c r="L209" s="116">
        <f t="shared" si="277"/>
        <v>2.0104000000000002</v>
      </c>
      <c r="M209" s="116">
        <f t="shared" si="278"/>
        <v>1520.8515167999999</v>
      </c>
      <c r="N209" s="126">
        <v>0.5</v>
      </c>
      <c r="O209" s="116">
        <f t="shared" si="279"/>
        <v>378.24599999999998</v>
      </c>
      <c r="P209" s="116">
        <f t="shared" si="280"/>
        <v>2.5104000000000002</v>
      </c>
      <c r="Q209" s="150">
        <f t="shared" si="281"/>
        <v>1899.0975168</v>
      </c>
    </row>
    <row r="210" spans="1:36" s="29" customFormat="1">
      <c r="A210" s="162" t="str">
        <f>IF(F210&lt;&gt;"",1+MAX($A$2:A209),"")</f>
        <v/>
      </c>
      <c r="B210" s="165"/>
      <c r="C210" s="104"/>
      <c r="D210" s="53"/>
      <c r="E210" s="56"/>
      <c r="F210" s="102"/>
      <c r="G210" s="103"/>
      <c r="H210" s="104"/>
      <c r="I210" s="125"/>
      <c r="J210" s="114"/>
      <c r="K210" s="115"/>
      <c r="L210" s="116"/>
      <c r="M210" s="116"/>
      <c r="N210" s="126"/>
      <c r="O210" s="116"/>
      <c r="P210" s="116"/>
      <c r="Q210" s="179"/>
    </row>
    <row r="211" spans="1:36" s="29" customFormat="1" ht="14.65" customHeight="1">
      <c r="A211" s="162" t="str">
        <f>IF(F211&lt;&gt;"",1+MAX($A$2:A210),"")</f>
        <v/>
      </c>
      <c r="B211" s="165"/>
      <c r="C211" s="56"/>
      <c r="D211" s="111" t="s">
        <v>183</v>
      </c>
      <c r="E211" s="164"/>
      <c r="F211" s="164"/>
      <c r="G211" s="164"/>
      <c r="H211" s="164"/>
      <c r="I211" s="125"/>
      <c r="J211" s="104"/>
      <c r="K211" s="104"/>
      <c r="L211" s="116"/>
      <c r="M211" s="116"/>
      <c r="N211" s="126"/>
      <c r="O211" s="116"/>
      <c r="P211" s="116"/>
      <c r="Q211" s="179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</row>
    <row r="212" spans="1:36" s="29" customFormat="1">
      <c r="A212" s="162">
        <f>IF(F212&lt;&gt;"",1+MAX($A$2:A211),"")</f>
        <v>133</v>
      </c>
      <c r="B212" s="165"/>
      <c r="C212" s="104"/>
      <c r="D212" s="53" t="s">
        <v>184</v>
      </c>
      <c r="E212" s="56">
        <f>213*9</f>
        <v>1917</v>
      </c>
      <c r="F212" s="102">
        <v>0.1</v>
      </c>
      <c r="G212" s="103">
        <f t="shared" ref="G212:G213" si="294">E212*(1+F212)</f>
        <v>2108.6999999999998</v>
      </c>
      <c r="H212" s="104" t="s">
        <v>61</v>
      </c>
      <c r="I212" s="125">
        <v>2.5999999999999999E-2</v>
      </c>
      <c r="J212" s="114">
        <f t="shared" ref="J212" si="295">+I212*G212</f>
        <v>54.8262</v>
      </c>
      <c r="K212" s="115">
        <f>'LABOR SHEET'!C$10</f>
        <v>71.8</v>
      </c>
      <c r="L212" s="116">
        <f t="shared" ref="L212" si="296">I212*K212</f>
        <v>1.8668</v>
      </c>
      <c r="M212" s="116">
        <f t="shared" ref="M212" si="297">K212*J212</f>
        <v>3936.5211599999998</v>
      </c>
      <c r="N212" s="126">
        <v>0.5</v>
      </c>
      <c r="O212" s="116">
        <f t="shared" ref="O212" si="298">N212*G212</f>
        <v>1054.3499999999999</v>
      </c>
      <c r="P212" s="116">
        <f t="shared" ref="P212" si="299">(I212*K212)+N212</f>
        <v>2.3668</v>
      </c>
      <c r="Q212" s="150">
        <f t="shared" ref="Q212" si="300">P212*G212</f>
        <v>4990.8711599999997</v>
      </c>
    </row>
    <row r="213" spans="1:36" s="29" customFormat="1">
      <c r="A213" s="162">
        <f>IF(F213&lt;&gt;"",1+MAX($A$2:A212),"")</f>
        <v>134</v>
      </c>
      <c r="B213" s="165"/>
      <c r="C213" s="104"/>
      <c r="D213" s="53" t="s">
        <v>185</v>
      </c>
      <c r="E213" s="54">
        <f>12.36*9</f>
        <v>111.24</v>
      </c>
      <c r="F213" s="102">
        <v>0.1</v>
      </c>
      <c r="G213" s="103">
        <f t="shared" si="294"/>
        <v>122.364</v>
      </c>
      <c r="H213" s="104" t="s">
        <v>61</v>
      </c>
      <c r="I213" s="125">
        <v>5.8000000000000003E-2</v>
      </c>
      <c r="J213" s="114">
        <f t="shared" ref="J213" si="301">+I213*G213</f>
        <v>7.0971120000000001</v>
      </c>
      <c r="K213" s="115">
        <f>'LABOR SHEET'!C$10</f>
        <v>71.8</v>
      </c>
      <c r="L213" s="116">
        <f t="shared" ref="L213" si="302">I213*K213</f>
        <v>4.1643999999999997</v>
      </c>
      <c r="M213" s="116">
        <f t="shared" ref="M213" si="303">K213*J213</f>
        <v>509.5726416</v>
      </c>
      <c r="N213" s="126">
        <v>8.5</v>
      </c>
      <c r="O213" s="116">
        <f t="shared" ref="O213" si="304">N213*G213</f>
        <v>1040.0940000000001</v>
      </c>
      <c r="P213" s="116">
        <f t="shared" ref="P213" si="305">(I213*K213)+N213</f>
        <v>12.664400000000001</v>
      </c>
      <c r="Q213" s="150">
        <f t="shared" ref="Q213" si="306">P213*G213</f>
        <v>1549.6666416</v>
      </c>
    </row>
    <row r="214" spans="1:36" s="29" customFormat="1">
      <c r="A214" s="162" t="str">
        <f>IF(F214&lt;&gt;"",1+MAX($A$2:A213),"")</f>
        <v/>
      </c>
      <c r="B214" s="165"/>
      <c r="C214" s="104"/>
      <c r="D214" s="53"/>
      <c r="E214" s="54"/>
      <c r="F214" s="102"/>
      <c r="G214" s="103"/>
      <c r="H214" s="104"/>
      <c r="I214" s="113"/>
      <c r="J214" s="114"/>
      <c r="K214" s="115"/>
      <c r="L214" s="116"/>
      <c r="M214" s="116"/>
      <c r="N214" s="116"/>
      <c r="O214" s="116"/>
      <c r="P214" s="116"/>
      <c r="Q214" s="179"/>
    </row>
    <row r="215" spans="1:36" s="29" customFormat="1" ht="14.65" customHeight="1">
      <c r="A215" s="162" t="str">
        <f>IF(F215&lt;&gt;"",1+MAX($A$2:A214),"")</f>
        <v/>
      </c>
      <c r="B215" s="165"/>
      <c r="C215" s="56"/>
      <c r="D215" s="111" t="s">
        <v>186</v>
      </c>
      <c r="E215" s="164"/>
      <c r="F215" s="164"/>
      <c r="G215" s="164"/>
      <c r="H215" s="164"/>
      <c r="I215" s="113"/>
      <c r="J215" s="104"/>
      <c r="K215" s="104"/>
      <c r="L215" s="116"/>
      <c r="M215" s="116"/>
      <c r="N215" s="116"/>
      <c r="O215" s="116"/>
      <c r="P215" s="116"/>
      <c r="Q215" s="179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0"/>
    </row>
    <row r="216" spans="1:36" s="29" customFormat="1" ht="108.5">
      <c r="A216" s="162">
        <f>IF(F216&lt;&gt;"",1+MAX($A$2:A215),"")</f>
        <v>135</v>
      </c>
      <c r="B216" s="165"/>
      <c r="C216" s="104"/>
      <c r="D216" s="183" t="s">
        <v>187</v>
      </c>
      <c r="E216" s="56">
        <v>765.93</v>
      </c>
      <c r="F216" s="102">
        <v>0.1</v>
      </c>
      <c r="G216" s="103">
        <f>E216*(1+F216)</f>
        <v>842.52300000000002</v>
      </c>
      <c r="H216" s="54" t="s">
        <v>61</v>
      </c>
      <c r="I216" s="125">
        <v>7.3999999999999996E-2</v>
      </c>
      <c r="J216" s="114">
        <f t="shared" ref="J216" si="307">+I216*G216</f>
        <v>62.346702000000001</v>
      </c>
      <c r="K216" s="115">
        <f>'LABOR SHEET'!C$12</f>
        <v>69.099999999999994</v>
      </c>
      <c r="L216" s="116">
        <f t="shared" ref="L216" si="308">I216*K216</f>
        <v>5.1134000000000004</v>
      </c>
      <c r="M216" s="116">
        <f t="shared" ref="M216" si="309">K216*J216</f>
        <v>4308.1571082</v>
      </c>
      <c r="N216" s="126">
        <f>8+1.15+0.82+0.2+0.18</f>
        <v>10.35</v>
      </c>
      <c r="O216" s="116">
        <f t="shared" ref="O216" si="310">N216*G216</f>
        <v>8720.1130499999999</v>
      </c>
      <c r="P216" s="116">
        <f t="shared" ref="P216" si="311">(I216*K216)+N216</f>
        <v>15.4634</v>
      </c>
      <c r="Q216" s="150">
        <f t="shared" ref="Q216" si="312">P216*G216</f>
        <v>13028.270158200001</v>
      </c>
    </row>
    <row r="217" spans="1:36" s="29" customFormat="1" ht="108.5">
      <c r="A217" s="162">
        <f>IF(F217&lt;&gt;"",1+MAX($A$2:A216),"")</f>
        <v>136</v>
      </c>
      <c r="B217" s="165"/>
      <c r="C217" s="104"/>
      <c r="D217" s="183" t="s">
        <v>188</v>
      </c>
      <c r="E217" s="56">
        <v>160.34</v>
      </c>
      <c r="F217" s="102">
        <v>0.1</v>
      </c>
      <c r="G217" s="103">
        <f>E217*(1+F217)</f>
        <v>176.374</v>
      </c>
      <c r="H217" s="54" t="s">
        <v>61</v>
      </c>
      <c r="I217" s="125">
        <v>7.3999999999999996E-2</v>
      </c>
      <c r="J217" s="114">
        <f t="shared" ref="J217:J222" si="313">+I217*G217</f>
        <v>13.051676</v>
      </c>
      <c r="K217" s="115">
        <f>'LABOR SHEET'!C$12</f>
        <v>69.099999999999994</v>
      </c>
      <c r="L217" s="116">
        <f t="shared" ref="L217:L222" si="314">I217*K217</f>
        <v>5.1134000000000004</v>
      </c>
      <c r="M217" s="116">
        <f t="shared" ref="M217:M222" si="315">K217*J217</f>
        <v>901.87081160000002</v>
      </c>
      <c r="N217" s="126">
        <f>8+1.15+0.82+0.2+0.18</f>
        <v>10.35</v>
      </c>
      <c r="O217" s="116">
        <f t="shared" ref="O217:O222" si="316">N217*G217</f>
        <v>1825.4709</v>
      </c>
      <c r="P217" s="116">
        <f t="shared" ref="P217:P222" si="317">(I217*K217)+N217</f>
        <v>15.4634</v>
      </c>
      <c r="Q217" s="150">
        <f t="shared" ref="Q217:Q222" si="318">P217*G217</f>
        <v>2727.3417116000001</v>
      </c>
    </row>
    <row r="218" spans="1:36" s="29" customFormat="1" ht="15" customHeight="1">
      <c r="A218" s="162">
        <f>IF(F218&lt;&gt;"",1+MAX($A$2:A217),"")</f>
        <v>137</v>
      </c>
      <c r="B218" s="165"/>
      <c r="C218" s="104"/>
      <c r="D218" s="53" t="s">
        <v>189</v>
      </c>
      <c r="E218" s="56">
        <v>134.6</v>
      </c>
      <c r="F218" s="102">
        <v>0.1</v>
      </c>
      <c r="G218" s="103">
        <f t="shared" ref="G218:G222" si="319">E218*(1+F218)</f>
        <v>148.06</v>
      </c>
      <c r="H218" s="54" t="s">
        <v>64</v>
      </c>
      <c r="I218" s="125">
        <v>0.05</v>
      </c>
      <c r="J218" s="114">
        <f t="shared" si="313"/>
        <v>7.4029999999999996</v>
      </c>
      <c r="K218" s="115">
        <f>'LABOR SHEET'!C$12</f>
        <v>69.099999999999994</v>
      </c>
      <c r="L218" s="116">
        <f t="shared" si="314"/>
        <v>3.4550000000000001</v>
      </c>
      <c r="M218" s="116">
        <f t="shared" si="315"/>
        <v>511.54730000000001</v>
      </c>
      <c r="N218" s="126">
        <v>3.48</v>
      </c>
      <c r="O218" s="116">
        <f t="shared" si="316"/>
        <v>515.24879999999996</v>
      </c>
      <c r="P218" s="116">
        <f t="shared" si="317"/>
        <v>6.9349999999999996</v>
      </c>
      <c r="Q218" s="150">
        <f t="shared" si="318"/>
        <v>1026.7961</v>
      </c>
    </row>
    <row r="219" spans="1:36" s="29" customFormat="1">
      <c r="A219" s="162">
        <f>IF(F219&lt;&gt;"",1+MAX($A$2:A218),"")</f>
        <v>138</v>
      </c>
      <c r="B219" s="165"/>
      <c r="C219" s="104"/>
      <c r="D219" s="53" t="s">
        <v>190</v>
      </c>
      <c r="E219" s="56">
        <v>30.27</v>
      </c>
      <c r="F219" s="102">
        <v>0.05</v>
      </c>
      <c r="G219" s="103">
        <f t="shared" si="319"/>
        <v>31.7835</v>
      </c>
      <c r="H219" s="54" t="s">
        <v>64</v>
      </c>
      <c r="I219" s="125">
        <v>0.04</v>
      </c>
      <c r="J219" s="114">
        <f t="shared" si="313"/>
        <v>1.2713399999999999</v>
      </c>
      <c r="K219" s="115">
        <f>'LABOR SHEET'!C$12</f>
        <v>69.099999999999994</v>
      </c>
      <c r="L219" s="116">
        <f t="shared" si="314"/>
        <v>2.7639999999999998</v>
      </c>
      <c r="M219" s="116">
        <f t="shared" si="315"/>
        <v>87.849593999999996</v>
      </c>
      <c r="N219" s="126">
        <v>4.2</v>
      </c>
      <c r="O219" s="116">
        <f t="shared" si="316"/>
        <v>133.4907</v>
      </c>
      <c r="P219" s="116">
        <f t="shared" si="317"/>
        <v>6.9640000000000004</v>
      </c>
      <c r="Q219" s="150">
        <f t="shared" si="318"/>
        <v>221.340294</v>
      </c>
    </row>
    <row r="220" spans="1:36" s="29" customFormat="1">
      <c r="A220" s="162">
        <f>IF(F220&lt;&gt;"",1+MAX($A$2:A219),"")</f>
        <v>139</v>
      </c>
      <c r="B220" s="165"/>
      <c r="C220" s="104"/>
      <c r="D220" s="53" t="s">
        <v>191</v>
      </c>
      <c r="E220" s="56">
        <v>26.76</v>
      </c>
      <c r="F220" s="102">
        <v>0.05</v>
      </c>
      <c r="G220" s="103">
        <f t="shared" si="319"/>
        <v>28.097999999999999</v>
      </c>
      <c r="H220" s="54" t="s">
        <v>64</v>
      </c>
      <c r="I220" s="125">
        <v>4.2999999999999997E-2</v>
      </c>
      <c r="J220" s="114">
        <f t="shared" si="313"/>
        <v>1.2082139999999999</v>
      </c>
      <c r="K220" s="115">
        <f>'LABOR SHEET'!C$12</f>
        <v>69.099999999999994</v>
      </c>
      <c r="L220" s="116">
        <f t="shared" si="314"/>
        <v>2.9712999999999998</v>
      </c>
      <c r="M220" s="116">
        <f t="shared" si="315"/>
        <v>83.487587399999995</v>
      </c>
      <c r="N220" s="126">
        <f>28.99/(78/12)</f>
        <v>4.46</v>
      </c>
      <c r="O220" s="116">
        <f t="shared" si="316"/>
        <v>125.31708</v>
      </c>
      <c r="P220" s="116">
        <f t="shared" si="317"/>
        <v>7.4313000000000002</v>
      </c>
      <c r="Q220" s="150">
        <f t="shared" si="318"/>
        <v>208.8046674</v>
      </c>
    </row>
    <row r="221" spans="1:36" s="29" customFormat="1">
      <c r="A221" s="162">
        <f>IF(F221&lt;&gt;"",1+MAX($A$2:A220),"")</f>
        <v>140</v>
      </c>
      <c r="B221" s="165"/>
      <c r="C221" s="104"/>
      <c r="D221" s="53" t="s">
        <v>192</v>
      </c>
      <c r="E221" s="56">
        <v>52.62</v>
      </c>
      <c r="F221" s="102">
        <v>0.05</v>
      </c>
      <c r="G221" s="103">
        <f t="shared" si="319"/>
        <v>55.250999999999998</v>
      </c>
      <c r="H221" s="54" t="s">
        <v>64</v>
      </c>
      <c r="I221" s="125">
        <v>0.03</v>
      </c>
      <c r="J221" s="114">
        <f t="shared" si="313"/>
        <v>1.6575299999999999</v>
      </c>
      <c r="K221" s="115">
        <f>'LABOR SHEET'!C$12</f>
        <v>69.099999999999994</v>
      </c>
      <c r="L221" s="116">
        <f t="shared" si="314"/>
        <v>2.073</v>
      </c>
      <c r="M221" s="116">
        <f t="shared" si="315"/>
        <v>114.53532300000001</v>
      </c>
      <c r="N221" s="126">
        <f>26.95/10</f>
        <v>2.6949999999999998</v>
      </c>
      <c r="O221" s="116">
        <f t="shared" si="316"/>
        <v>148.901445</v>
      </c>
      <c r="P221" s="116">
        <f t="shared" si="317"/>
        <v>4.7679999999999998</v>
      </c>
      <c r="Q221" s="150">
        <f t="shared" si="318"/>
        <v>263.43676799999997</v>
      </c>
    </row>
    <row r="222" spans="1:36" s="29" customFormat="1">
      <c r="A222" s="162">
        <f>IF(F222&lt;&gt;"",1+MAX($A$2:A221),"")</f>
        <v>141</v>
      </c>
      <c r="B222" s="165"/>
      <c r="C222" s="104"/>
      <c r="D222" s="112" t="s">
        <v>193</v>
      </c>
      <c r="E222" s="174">
        <v>35.89</v>
      </c>
      <c r="F222" s="102">
        <v>0.05</v>
      </c>
      <c r="G222" s="103">
        <f t="shared" si="319"/>
        <v>37.6845</v>
      </c>
      <c r="H222" s="104" t="s">
        <v>64</v>
      </c>
      <c r="I222" s="125">
        <v>0.04</v>
      </c>
      <c r="J222" s="114">
        <f t="shared" si="313"/>
        <v>1.5073799999999999</v>
      </c>
      <c r="K222" s="115">
        <f>'LABOR SHEET'!C$12</f>
        <v>69.099999999999994</v>
      </c>
      <c r="L222" s="116">
        <f t="shared" si="314"/>
        <v>2.7639999999999998</v>
      </c>
      <c r="M222" s="116">
        <f t="shared" si="315"/>
        <v>104.159958</v>
      </c>
      <c r="N222" s="126">
        <f>312.62/80</f>
        <v>3.9077500000000001</v>
      </c>
      <c r="O222" s="116">
        <f t="shared" si="316"/>
        <v>147.26160487499999</v>
      </c>
      <c r="P222" s="116">
        <f t="shared" si="317"/>
        <v>6.6717500000000003</v>
      </c>
      <c r="Q222" s="150">
        <f t="shared" si="318"/>
        <v>251.42156287500001</v>
      </c>
    </row>
    <row r="223" spans="1:36" s="29" customFormat="1">
      <c r="A223" s="162" t="str">
        <f>IF(F223&lt;&gt;"",1+MAX($A$2:A222),"")</f>
        <v/>
      </c>
      <c r="B223" s="165"/>
      <c r="C223" s="104"/>
      <c r="D223" s="112"/>
      <c r="E223" s="174"/>
      <c r="F223" s="102"/>
      <c r="G223" s="103"/>
      <c r="H223" s="104"/>
      <c r="I223" s="125"/>
      <c r="J223" s="114"/>
      <c r="K223" s="115"/>
      <c r="L223" s="116"/>
      <c r="M223" s="116"/>
      <c r="N223" s="126"/>
      <c r="O223" s="116"/>
      <c r="P223" s="116"/>
      <c r="Q223" s="179"/>
    </row>
    <row r="224" spans="1:36" s="29" customFormat="1" ht="14.65" customHeight="1">
      <c r="A224" s="162" t="str">
        <f>IF(F224&lt;&gt;"",1+MAX($A$2:A223),"")</f>
        <v/>
      </c>
      <c r="B224" s="165"/>
      <c r="C224" s="56"/>
      <c r="D224" s="111" t="s">
        <v>194</v>
      </c>
      <c r="E224" s="164"/>
      <c r="F224" s="164"/>
      <c r="G224" s="164"/>
      <c r="H224" s="164"/>
      <c r="I224" s="125"/>
      <c r="J224" s="104"/>
      <c r="K224" s="104"/>
      <c r="L224" s="116"/>
      <c r="M224" s="116"/>
      <c r="N224" s="126"/>
      <c r="O224" s="116"/>
      <c r="P224" s="116"/>
      <c r="Q224" s="179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</row>
    <row r="225" spans="1:36" s="29" customFormat="1">
      <c r="A225" s="162">
        <f>IF(F225&lt;&gt;"",1+MAX($A$2:A224),"")</f>
        <v>142</v>
      </c>
      <c r="B225" s="165"/>
      <c r="C225" s="104"/>
      <c r="D225" s="112" t="s">
        <v>195</v>
      </c>
      <c r="E225" s="174">
        <v>4</v>
      </c>
      <c r="F225" s="102">
        <v>0</v>
      </c>
      <c r="G225" s="103">
        <f t="shared" ref="G225:G226" si="320">E225*(1+F225)</f>
        <v>4</v>
      </c>
      <c r="H225" s="104" t="s">
        <v>55</v>
      </c>
      <c r="I225" s="125">
        <v>1.1000000000000001</v>
      </c>
      <c r="J225" s="114">
        <f t="shared" ref="J225:J226" si="321">+I225*G225</f>
        <v>4.4000000000000004</v>
      </c>
      <c r="K225" s="115">
        <f>'LABOR SHEET'!C$10</f>
        <v>71.8</v>
      </c>
      <c r="L225" s="116">
        <f t="shared" ref="L225:L226" si="322">I225*K225</f>
        <v>78.98</v>
      </c>
      <c r="M225" s="116">
        <f t="shared" ref="M225:M226" si="323">K225*J225</f>
        <v>315.92</v>
      </c>
      <c r="N225" s="126">
        <v>35.200000000000003</v>
      </c>
      <c r="O225" s="116">
        <f t="shared" ref="O225:O226" si="324">N225*G225</f>
        <v>140.80000000000001</v>
      </c>
      <c r="P225" s="116">
        <f t="shared" ref="P225:P226" si="325">(I225*K225)+N225</f>
        <v>114.18</v>
      </c>
      <c r="Q225" s="150">
        <f t="shared" ref="Q225:Q226" si="326">P225*G225</f>
        <v>456.72</v>
      </c>
    </row>
    <row r="226" spans="1:36" s="29" customFormat="1">
      <c r="A226" s="162">
        <f>IF(F226&lt;&gt;"",1+MAX($A$2:A225),"")</f>
        <v>143</v>
      </c>
      <c r="B226" s="165"/>
      <c r="C226" s="104"/>
      <c r="D226" s="112" t="s">
        <v>196</v>
      </c>
      <c r="E226" s="174">
        <f>E195</f>
        <v>136</v>
      </c>
      <c r="F226" s="102">
        <v>0.05</v>
      </c>
      <c r="G226" s="103">
        <f t="shared" si="320"/>
        <v>142.80000000000001</v>
      </c>
      <c r="H226" s="104" t="s">
        <v>64</v>
      </c>
      <c r="I226" s="125">
        <v>1.7999999999999999E-2</v>
      </c>
      <c r="J226" s="114">
        <f t="shared" si="321"/>
        <v>2.5703999999999998</v>
      </c>
      <c r="K226" s="115">
        <f>'LABOR SHEET'!C$10</f>
        <v>71.8</v>
      </c>
      <c r="L226" s="116">
        <f t="shared" si="322"/>
        <v>1.2924</v>
      </c>
      <c r="M226" s="116">
        <f t="shared" si="323"/>
        <v>184.55472</v>
      </c>
      <c r="N226" s="126">
        <v>1.2</v>
      </c>
      <c r="O226" s="116">
        <f t="shared" si="324"/>
        <v>171.36</v>
      </c>
      <c r="P226" s="116">
        <f t="shared" si="325"/>
        <v>2.4923999999999999</v>
      </c>
      <c r="Q226" s="150">
        <f t="shared" si="326"/>
        <v>355.91471999999999</v>
      </c>
    </row>
    <row r="227" spans="1:36" s="29" customFormat="1">
      <c r="A227" s="184" t="str">
        <f>IF(F227&lt;&gt;"",1+MAX($A$2:A226),"")</f>
        <v/>
      </c>
      <c r="B227" s="185"/>
      <c r="C227" s="186"/>
      <c r="D227" s="112"/>
      <c r="E227" s="187"/>
      <c r="F227" s="188"/>
      <c r="G227" s="189"/>
      <c r="H227" s="190"/>
      <c r="I227" s="117"/>
      <c r="J227" s="114"/>
      <c r="K227" s="115"/>
      <c r="L227" s="120"/>
      <c r="M227" s="120"/>
      <c r="N227" s="120"/>
      <c r="O227" s="120"/>
      <c r="P227" s="120"/>
      <c r="Q227" s="233"/>
    </row>
    <row r="228" spans="1:36" s="29" customFormat="1" ht="16.899999999999999" customHeight="1">
      <c r="A228" s="162" t="str">
        <f>IF(F228&lt;&gt;"",1+MAX($A$2:A227),"")</f>
        <v/>
      </c>
      <c r="B228" s="165"/>
      <c r="C228" s="191"/>
      <c r="D228" s="67" t="s">
        <v>51</v>
      </c>
      <c r="E228" s="192"/>
      <c r="F228" s="192"/>
      <c r="G228" s="193"/>
      <c r="H228" s="192"/>
      <c r="I228" s="192"/>
      <c r="J228" s="131"/>
      <c r="K228" s="131"/>
      <c r="L228" s="219"/>
      <c r="M228" s="133"/>
      <c r="N228" s="219"/>
      <c r="O228" s="219"/>
      <c r="P228" s="220"/>
      <c r="Q228" s="234">
        <f>SUM(Q149:Q226)</f>
        <v>56824.993219495002</v>
      </c>
    </row>
    <row r="229" spans="1:36" s="29" customFormat="1" ht="16.899999999999999" customHeight="1">
      <c r="A229" s="194" t="str">
        <f>IF(F229&lt;&gt;"",1+MAX($A$2:A228),"")</f>
        <v/>
      </c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235"/>
    </row>
    <row r="230" spans="1:36" s="28" customFormat="1" ht="16.899999999999999" customHeight="1">
      <c r="A230" s="41" t="str">
        <f>IF(F230&lt;&gt;"",1+MAX($A$2:A229),"")</f>
        <v/>
      </c>
      <c r="B230" s="42"/>
      <c r="C230" s="42">
        <v>10</v>
      </c>
      <c r="D230" s="196" t="s">
        <v>197</v>
      </c>
      <c r="E230" s="110"/>
      <c r="F230" s="110"/>
      <c r="G230" s="110"/>
      <c r="H230" s="110"/>
      <c r="I230" s="110"/>
      <c r="J230" s="110"/>
      <c r="K230" s="110"/>
      <c r="L230" s="110" t="s">
        <v>151</v>
      </c>
      <c r="M230" s="110"/>
      <c r="N230" s="110"/>
      <c r="O230" s="110"/>
      <c r="P230" s="110"/>
      <c r="Q230" s="154"/>
      <c r="S230" s="148"/>
    </row>
    <row r="231" spans="1:36" s="28" customFormat="1" ht="16.899999999999999" customHeight="1">
      <c r="A231" s="197" t="str">
        <f>IF(F231&lt;&gt;"",1+MAX($A$2:A230),"")</f>
        <v/>
      </c>
      <c r="B231" s="198"/>
      <c r="C231" s="199"/>
      <c r="D231" s="200" t="s">
        <v>198</v>
      </c>
      <c r="E231" s="201"/>
      <c r="F231" s="201"/>
      <c r="G231" s="201"/>
      <c r="H231" s="201"/>
      <c r="I231" s="221"/>
      <c r="J231" s="222"/>
      <c r="K231" s="223"/>
      <c r="L231" s="116"/>
      <c r="M231" s="116"/>
      <c r="N231" s="116"/>
      <c r="O231" s="116"/>
      <c r="P231" s="116"/>
      <c r="Q231" s="179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  <c r="AE231" s="180"/>
      <c r="AF231" s="180"/>
      <c r="AG231" s="180"/>
      <c r="AH231" s="180"/>
      <c r="AI231" s="180"/>
      <c r="AJ231" s="180"/>
    </row>
    <row r="232" spans="1:36" s="28" customFormat="1" ht="16.899999999999999" customHeight="1">
      <c r="A232" s="162">
        <f>IF(F232&lt;&gt;"",1+MAX($A$2:A231),"")</f>
        <v>144</v>
      </c>
      <c r="B232" s="198"/>
      <c r="C232" s="199"/>
      <c r="D232" s="53" t="s">
        <v>199</v>
      </c>
      <c r="E232" s="56">
        <v>1</v>
      </c>
      <c r="F232" s="102">
        <v>0</v>
      </c>
      <c r="G232" s="103">
        <f t="shared" ref="G232" si="327">E232*(1+F232)</f>
        <v>1</v>
      </c>
      <c r="H232" s="54" t="s">
        <v>55</v>
      </c>
      <c r="I232" s="125">
        <v>4.8499999999999996</v>
      </c>
      <c r="J232" s="114">
        <f t="shared" ref="J232" si="328">+I232*G232</f>
        <v>4.8499999999999996</v>
      </c>
      <c r="K232" s="115">
        <f>'LABOR SHEET'!C$16</f>
        <v>40</v>
      </c>
      <c r="L232" s="116">
        <f t="shared" ref="L232" si="329">I232*K232</f>
        <v>194</v>
      </c>
      <c r="M232" s="116">
        <f t="shared" ref="M232" si="330">K232*J232</f>
        <v>194</v>
      </c>
      <c r="N232" s="126">
        <v>3450</v>
      </c>
      <c r="O232" s="116">
        <f t="shared" ref="O232" si="331">N232*G232</f>
        <v>3450</v>
      </c>
      <c r="P232" s="116">
        <f t="shared" ref="P232" si="332">(I232*K232)+N232</f>
        <v>3644</v>
      </c>
      <c r="Q232" s="150">
        <f t="shared" ref="Q232" si="333">P232*G232</f>
        <v>3644</v>
      </c>
    </row>
    <row r="233" spans="1:36" s="28" customFormat="1" ht="16.899999999999999" customHeight="1">
      <c r="A233" s="162" t="str">
        <f>IF(F233&lt;&gt;"",1+MAX($A$2:A232),"")</f>
        <v/>
      </c>
      <c r="B233" s="198"/>
      <c r="C233" s="199"/>
      <c r="D233" s="202"/>
      <c r="E233" s="54"/>
      <c r="F233" s="54"/>
      <c r="G233" s="54"/>
      <c r="H233" s="54"/>
      <c r="I233" s="224"/>
      <c r="J233" s="222"/>
      <c r="K233" s="223"/>
      <c r="L233" s="116"/>
      <c r="M233" s="116"/>
      <c r="N233" s="126"/>
      <c r="O233" s="116"/>
      <c r="P233" s="116"/>
      <c r="Q233" s="179"/>
    </row>
    <row r="234" spans="1:36" s="28" customFormat="1" ht="16.899999999999999" customHeight="1">
      <c r="A234" s="162" t="str">
        <f>IF(F234&lt;&gt;"",1+MAX($A$2:A233),"")</f>
        <v/>
      </c>
      <c r="B234" s="198"/>
      <c r="C234" s="199"/>
      <c r="D234" s="200" t="s">
        <v>200</v>
      </c>
      <c r="E234" s="54"/>
      <c r="F234" s="54"/>
      <c r="G234" s="54"/>
      <c r="H234" s="54"/>
      <c r="I234" s="224"/>
      <c r="J234" s="222"/>
      <c r="K234" s="223"/>
      <c r="L234" s="116"/>
      <c r="M234" s="116"/>
      <c r="N234" s="126"/>
      <c r="O234" s="116"/>
      <c r="P234" s="116"/>
      <c r="Q234" s="179"/>
    </row>
    <row r="235" spans="1:36" s="28" customFormat="1" ht="16.899999999999999" customHeight="1">
      <c r="A235" s="162">
        <f>IF(F235&lt;&gt;"",1+MAX($A$2:A234),"")</f>
        <v>145</v>
      </c>
      <c r="B235" s="198"/>
      <c r="C235" s="199"/>
      <c r="D235" s="203" t="s">
        <v>201</v>
      </c>
      <c r="E235" s="54">
        <v>1</v>
      </c>
      <c r="F235" s="102">
        <v>0</v>
      </c>
      <c r="G235" s="103">
        <f t="shared" ref="G235:G244" si="334">E235*(1+F235)</f>
        <v>1</v>
      </c>
      <c r="H235" s="54" t="s">
        <v>55</v>
      </c>
      <c r="I235" s="125">
        <v>0.32</v>
      </c>
      <c r="J235" s="114">
        <f t="shared" ref="J235:J244" si="335">+I235*G235</f>
        <v>0.32</v>
      </c>
      <c r="K235" s="115">
        <f>'LABOR SHEET'!C$16</f>
        <v>40</v>
      </c>
      <c r="L235" s="116">
        <f t="shared" ref="L235:L243" si="336">I235*K235</f>
        <v>12.8</v>
      </c>
      <c r="M235" s="116">
        <f t="shared" ref="M235:M243" si="337">K235*J235</f>
        <v>12.8</v>
      </c>
      <c r="N235" s="126">
        <v>35</v>
      </c>
      <c r="O235" s="116">
        <f t="shared" ref="O235:O244" si="338">N235*G235</f>
        <v>35</v>
      </c>
      <c r="P235" s="116">
        <f t="shared" ref="P235:P243" si="339">(I235*K235)+N235</f>
        <v>47.8</v>
      </c>
      <c r="Q235" s="150">
        <f t="shared" ref="Q235:Q244" si="340">P235*G235</f>
        <v>47.8</v>
      </c>
    </row>
    <row r="236" spans="1:36" s="28" customFormat="1" ht="16.899999999999999" customHeight="1">
      <c r="A236" s="162">
        <f>IF(F236&lt;&gt;"",1+MAX($A$2:A235),"")</f>
        <v>146</v>
      </c>
      <c r="B236" s="198"/>
      <c r="C236" s="199"/>
      <c r="D236" s="203" t="s">
        <v>202</v>
      </c>
      <c r="E236" s="54">
        <v>1</v>
      </c>
      <c r="F236" s="102">
        <v>0</v>
      </c>
      <c r="G236" s="103">
        <f t="shared" si="334"/>
        <v>1</v>
      </c>
      <c r="H236" s="54" t="s">
        <v>55</v>
      </c>
      <c r="I236" s="125">
        <v>1</v>
      </c>
      <c r="J236" s="114">
        <f t="shared" si="335"/>
        <v>1</v>
      </c>
      <c r="K236" s="115">
        <f>'LABOR SHEET'!C$16</f>
        <v>40</v>
      </c>
      <c r="L236" s="116">
        <f t="shared" si="336"/>
        <v>40</v>
      </c>
      <c r="M236" s="116">
        <f t="shared" si="337"/>
        <v>40</v>
      </c>
      <c r="N236" s="126">
        <v>189</v>
      </c>
      <c r="O236" s="116">
        <f t="shared" si="338"/>
        <v>189</v>
      </c>
      <c r="P236" s="116">
        <f t="shared" si="339"/>
        <v>229</v>
      </c>
      <c r="Q236" s="150">
        <f t="shared" si="340"/>
        <v>229</v>
      </c>
    </row>
    <row r="237" spans="1:36" s="28" customFormat="1" ht="16.899999999999999" customHeight="1">
      <c r="A237" s="162">
        <f>IF(F237&lt;&gt;"",1+MAX($A$2:A236),"")</f>
        <v>147</v>
      </c>
      <c r="B237" s="198"/>
      <c r="C237" s="199"/>
      <c r="D237" s="204" t="s">
        <v>203</v>
      </c>
      <c r="E237" s="54">
        <v>1</v>
      </c>
      <c r="F237" s="102">
        <v>0</v>
      </c>
      <c r="G237" s="103">
        <f t="shared" si="334"/>
        <v>1</v>
      </c>
      <c r="H237" s="54" t="s">
        <v>55</v>
      </c>
      <c r="I237" s="125">
        <v>0.5</v>
      </c>
      <c r="J237" s="114">
        <f t="shared" si="335"/>
        <v>0.5</v>
      </c>
      <c r="K237" s="115">
        <f>'LABOR SHEET'!C$16</f>
        <v>40</v>
      </c>
      <c r="L237" s="116">
        <f t="shared" si="336"/>
        <v>20</v>
      </c>
      <c r="M237" s="116">
        <f t="shared" si="337"/>
        <v>20</v>
      </c>
      <c r="N237" s="126">
        <v>86.5</v>
      </c>
      <c r="O237" s="116">
        <f t="shared" si="338"/>
        <v>86.5</v>
      </c>
      <c r="P237" s="116">
        <f t="shared" si="339"/>
        <v>106.5</v>
      </c>
      <c r="Q237" s="150">
        <f t="shared" si="340"/>
        <v>106.5</v>
      </c>
    </row>
    <row r="238" spans="1:36" s="28" customFormat="1" ht="16.899999999999999" customHeight="1">
      <c r="A238" s="162">
        <f>IF(F238&lt;&gt;"",1+MAX($A$2:A237),"")</f>
        <v>148</v>
      </c>
      <c r="B238" s="198"/>
      <c r="C238" s="199"/>
      <c r="D238" s="204" t="s">
        <v>204</v>
      </c>
      <c r="E238" s="54">
        <v>1</v>
      </c>
      <c r="F238" s="102">
        <v>0</v>
      </c>
      <c r="G238" s="103">
        <f t="shared" si="334"/>
        <v>1</v>
      </c>
      <c r="H238" s="54" t="s">
        <v>55</v>
      </c>
      <c r="I238" s="125">
        <v>0.8</v>
      </c>
      <c r="J238" s="114">
        <f t="shared" si="335"/>
        <v>0.8</v>
      </c>
      <c r="K238" s="115">
        <f>'LABOR SHEET'!C$16</f>
        <v>40</v>
      </c>
      <c r="L238" s="116">
        <f t="shared" si="336"/>
        <v>32</v>
      </c>
      <c r="M238" s="116">
        <f t="shared" si="337"/>
        <v>32</v>
      </c>
      <c r="N238" s="126">
        <v>96</v>
      </c>
      <c r="O238" s="116">
        <f t="shared" si="338"/>
        <v>96</v>
      </c>
      <c r="P238" s="116">
        <f t="shared" si="339"/>
        <v>128</v>
      </c>
      <c r="Q238" s="150">
        <f t="shared" si="340"/>
        <v>128</v>
      </c>
    </row>
    <row r="239" spans="1:36" s="28" customFormat="1" ht="16.899999999999999" customHeight="1">
      <c r="A239" s="162">
        <f>IF(F239&lt;&gt;"",1+MAX($A$2:A238),"")</f>
        <v>149</v>
      </c>
      <c r="B239" s="198"/>
      <c r="C239" s="199"/>
      <c r="D239" s="204" t="s">
        <v>205</v>
      </c>
      <c r="E239" s="54">
        <v>1</v>
      </c>
      <c r="F239" s="102">
        <v>0</v>
      </c>
      <c r="G239" s="103">
        <f t="shared" si="334"/>
        <v>1</v>
      </c>
      <c r="H239" s="54" t="s">
        <v>55</v>
      </c>
      <c r="I239" s="125">
        <v>0.55000000000000004</v>
      </c>
      <c r="J239" s="114">
        <f t="shared" si="335"/>
        <v>0.55000000000000004</v>
      </c>
      <c r="K239" s="115">
        <f>'LABOR SHEET'!C$16</f>
        <v>40</v>
      </c>
      <c r="L239" s="116">
        <f t="shared" si="336"/>
        <v>22</v>
      </c>
      <c r="M239" s="116">
        <f t="shared" si="337"/>
        <v>22</v>
      </c>
      <c r="N239" s="126">
        <v>75</v>
      </c>
      <c r="O239" s="116">
        <f t="shared" si="338"/>
        <v>75</v>
      </c>
      <c r="P239" s="116">
        <f t="shared" si="339"/>
        <v>97</v>
      </c>
      <c r="Q239" s="150">
        <f t="shared" si="340"/>
        <v>97</v>
      </c>
    </row>
    <row r="240" spans="1:36" s="28" customFormat="1" ht="16.899999999999999" customHeight="1">
      <c r="A240" s="162">
        <f>IF(F240&lt;&gt;"",1+MAX($A$2:A239),"")</f>
        <v>150</v>
      </c>
      <c r="B240" s="198"/>
      <c r="C240" s="199"/>
      <c r="D240" s="204" t="s">
        <v>206</v>
      </c>
      <c r="E240" s="54">
        <v>1</v>
      </c>
      <c r="F240" s="102">
        <v>0</v>
      </c>
      <c r="G240" s="103">
        <f t="shared" si="334"/>
        <v>1</v>
      </c>
      <c r="H240" s="54" t="s">
        <v>55</v>
      </c>
      <c r="I240" s="125">
        <v>1.2</v>
      </c>
      <c r="J240" s="114">
        <f t="shared" si="335"/>
        <v>1.2</v>
      </c>
      <c r="K240" s="115">
        <f>'LABOR SHEET'!C$16</f>
        <v>40</v>
      </c>
      <c r="L240" s="116">
        <f t="shared" si="336"/>
        <v>48</v>
      </c>
      <c r="M240" s="116">
        <f t="shared" si="337"/>
        <v>48</v>
      </c>
      <c r="N240" s="126">
        <v>229</v>
      </c>
      <c r="O240" s="116">
        <f t="shared" si="338"/>
        <v>229</v>
      </c>
      <c r="P240" s="116">
        <f t="shared" si="339"/>
        <v>277</v>
      </c>
      <c r="Q240" s="150">
        <f t="shared" si="340"/>
        <v>277</v>
      </c>
    </row>
    <row r="241" spans="1:36" s="28" customFormat="1" ht="16.899999999999999" customHeight="1">
      <c r="A241" s="162">
        <f>IF(F241&lt;&gt;"",1+MAX($A$2:A240),"")</f>
        <v>151</v>
      </c>
      <c r="B241" s="198"/>
      <c r="C241" s="199"/>
      <c r="D241" s="204" t="s">
        <v>207</v>
      </c>
      <c r="E241" s="54">
        <v>1</v>
      </c>
      <c r="F241" s="102">
        <v>0</v>
      </c>
      <c r="G241" s="103">
        <f t="shared" si="334"/>
        <v>1</v>
      </c>
      <c r="H241" s="54" t="s">
        <v>55</v>
      </c>
      <c r="I241" s="125">
        <v>0.55000000000000004</v>
      </c>
      <c r="J241" s="114">
        <f t="shared" si="335"/>
        <v>0.55000000000000004</v>
      </c>
      <c r="K241" s="115">
        <f>'LABOR SHEET'!C$16</f>
        <v>40</v>
      </c>
      <c r="L241" s="116">
        <f t="shared" si="336"/>
        <v>22</v>
      </c>
      <c r="M241" s="116">
        <f t="shared" si="337"/>
        <v>22</v>
      </c>
      <c r="N241" s="126">
        <v>56</v>
      </c>
      <c r="O241" s="116">
        <f t="shared" si="338"/>
        <v>56</v>
      </c>
      <c r="P241" s="116">
        <f t="shared" si="339"/>
        <v>78</v>
      </c>
      <c r="Q241" s="150">
        <f t="shared" si="340"/>
        <v>78</v>
      </c>
    </row>
    <row r="242" spans="1:36" s="28" customFormat="1" ht="16.899999999999999" customHeight="1">
      <c r="A242" s="162">
        <f>IF(F242&lt;&gt;"",1+MAX($A$2:A241),"")</f>
        <v>152</v>
      </c>
      <c r="B242" s="198"/>
      <c r="C242" s="199"/>
      <c r="D242" s="204" t="s">
        <v>208</v>
      </c>
      <c r="E242" s="54">
        <v>1</v>
      </c>
      <c r="F242" s="102">
        <v>0</v>
      </c>
      <c r="G242" s="103">
        <f t="shared" si="334"/>
        <v>1</v>
      </c>
      <c r="H242" s="54" t="s">
        <v>55</v>
      </c>
      <c r="I242" s="125">
        <v>0.55000000000000004</v>
      </c>
      <c r="J242" s="114">
        <f t="shared" si="335"/>
        <v>0.55000000000000004</v>
      </c>
      <c r="K242" s="115">
        <f>'LABOR SHEET'!C$16</f>
        <v>40</v>
      </c>
      <c r="L242" s="116">
        <f t="shared" si="336"/>
        <v>22</v>
      </c>
      <c r="M242" s="116">
        <f t="shared" si="337"/>
        <v>22</v>
      </c>
      <c r="N242" s="126">
        <v>62</v>
      </c>
      <c r="O242" s="116">
        <f t="shared" si="338"/>
        <v>62</v>
      </c>
      <c r="P242" s="116">
        <f t="shared" si="339"/>
        <v>84</v>
      </c>
      <c r="Q242" s="150">
        <f t="shared" si="340"/>
        <v>84</v>
      </c>
    </row>
    <row r="243" spans="1:36" s="28" customFormat="1" ht="16.899999999999999" customHeight="1">
      <c r="A243" s="162">
        <f>IF(F243&lt;&gt;"",1+MAX($A$2:A242),"")</f>
        <v>153</v>
      </c>
      <c r="B243" s="198"/>
      <c r="C243" s="199"/>
      <c r="D243" s="204" t="s">
        <v>209</v>
      </c>
      <c r="E243" s="54">
        <v>1</v>
      </c>
      <c r="F243" s="102">
        <v>0</v>
      </c>
      <c r="G243" s="103">
        <f t="shared" si="334"/>
        <v>1</v>
      </c>
      <c r="H243" s="54" t="s">
        <v>55</v>
      </c>
      <c r="I243" s="125">
        <v>0.55000000000000004</v>
      </c>
      <c r="J243" s="114">
        <f t="shared" si="335"/>
        <v>0.55000000000000004</v>
      </c>
      <c r="K243" s="115">
        <f>'LABOR SHEET'!C$16</f>
        <v>40</v>
      </c>
      <c r="L243" s="116">
        <f t="shared" si="336"/>
        <v>22</v>
      </c>
      <c r="M243" s="116">
        <f t="shared" si="337"/>
        <v>22</v>
      </c>
      <c r="N243" s="126">
        <v>44</v>
      </c>
      <c r="O243" s="116">
        <f t="shared" si="338"/>
        <v>44</v>
      </c>
      <c r="P243" s="116">
        <f t="shared" si="339"/>
        <v>66</v>
      </c>
      <c r="Q243" s="150">
        <f t="shared" si="340"/>
        <v>66</v>
      </c>
    </row>
    <row r="244" spans="1:36" s="28" customFormat="1" ht="16.899999999999999" customHeight="1">
      <c r="A244" s="184">
        <f>IF(F244&lt;&gt;"",1+MAX($A$2:A243),"")</f>
        <v>154</v>
      </c>
      <c r="B244" s="205"/>
      <c r="C244" s="206"/>
      <c r="D244" s="204" t="s">
        <v>210</v>
      </c>
      <c r="E244" s="54">
        <v>1</v>
      </c>
      <c r="F244" s="102">
        <v>0</v>
      </c>
      <c r="G244" s="103">
        <f t="shared" si="334"/>
        <v>1</v>
      </c>
      <c r="H244" s="54" t="s">
        <v>55</v>
      </c>
      <c r="I244" s="125">
        <v>0.55000000000000004</v>
      </c>
      <c r="J244" s="114">
        <f t="shared" si="335"/>
        <v>0.55000000000000004</v>
      </c>
      <c r="K244" s="115">
        <f>'LABOR SHEET'!C$16</f>
        <v>40</v>
      </c>
      <c r="L244" s="116">
        <f t="shared" ref="L244" si="341">I244*K244</f>
        <v>22</v>
      </c>
      <c r="M244" s="116">
        <f t="shared" ref="M244" si="342">K244*J244</f>
        <v>22</v>
      </c>
      <c r="N244" s="126">
        <v>38</v>
      </c>
      <c r="O244" s="116">
        <f t="shared" si="338"/>
        <v>38</v>
      </c>
      <c r="P244" s="116">
        <f t="shared" ref="P244" si="343">(I244*K244)+N244</f>
        <v>60</v>
      </c>
      <c r="Q244" s="150">
        <f t="shared" si="340"/>
        <v>60</v>
      </c>
    </row>
    <row r="245" spans="1:36" s="28" customFormat="1" ht="16.899999999999999" customHeight="1">
      <c r="A245" s="184"/>
      <c r="B245" s="205"/>
      <c r="C245" s="207"/>
      <c r="D245" s="208"/>
      <c r="E245" s="209"/>
      <c r="F245" s="210"/>
      <c r="G245" s="211"/>
      <c r="H245" s="209"/>
      <c r="I245" s="225"/>
      <c r="J245" s="226"/>
      <c r="K245" s="227"/>
      <c r="L245" s="228"/>
      <c r="M245" s="228"/>
      <c r="N245" s="229"/>
      <c r="O245" s="228"/>
      <c r="P245" s="228"/>
      <c r="Q245" s="236"/>
    </row>
    <row r="246" spans="1:36" s="28" customFormat="1" ht="16.899999999999999" customHeight="1">
      <c r="A246" s="162" t="str">
        <f>IF(F246&lt;&gt;"",1+MAX($A$2:A244),"")</f>
        <v/>
      </c>
      <c r="B246" s="198"/>
      <c r="C246" s="212"/>
      <c r="D246" s="67" t="s">
        <v>51</v>
      </c>
      <c r="E246" s="213"/>
      <c r="F246" s="213"/>
      <c r="G246" s="214"/>
      <c r="H246" s="213"/>
      <c r="I246" s="213"/>
      <c r="J246" s="131"/>
      <c r="K246" s="131"/>
      <c r="L246" s="132"/>
      <c r="M246" s="133"/>
      <c r="N246" s="132"/>
      <c r="O246" s="132"/>
      <c r="P246" s="230"/>
      <c r="Q246" s="144">
        <f>SUM(Q232:Q244)</f>
        <v>4817.3</v>
      </c>
      <c r="S246" s="148"/>
    </row>
    <row r="247" spans="1:36" s="28" customFormat="1" ht="16.899999999999999" customHeight="1">
      <c r="A247" s="215" t="str">
        <f>IF(F247&lt;&gt;"",1+MAX($A$2:A246),"")</f>
        <v/>
      </c>
      <c r="B247" s="216"/>
      <c r="C247" s="216"/>
      <c r="D247" s="217"/>
      <c r="E247" s="217"/>
      <c r="F247" s="217"/>
      <c r="G247" s="217"/>
      <c r="H247" s="217"/>
      <c r="I247" s="217"/>
      <c r="J247" s="217"/>
      <c r="K247" s="217"/>
      <c r="L247" s="217"/>
      <c r="M247" s="217"/>
      <c r="N247" s="217"/>
      <c r="O247" s="217"/>
      <c r="P247" s="217"/>
      <c r="Q247" s="237"/>
      <c r="S247" s="148"/>
    </row>
    <row r="248" spans="1:36" s="28" customFormat="1" ht="16.899999999999999" customHeight="1">
      <c r="A248" s="41" t="str">
        <f>IF(F248&lt;&gt;"",1+MAX($A$2:A247),"")</f>
        <v/>
      </c>
      <c r="B248" s="42"/>
      <c r="C248" s="42">
        <v>11</v>
      </c>
      <c r="D248" s="44" t="s">
        <v>211</v>
      </c>
      <c r="E248" s="42"/>
      <c r="F248" s="42"/>
      <c r="G248" s="42"/>
      <c r="H248" s="42"/>
      <c r="I248" s="42"/>
      <c r="J248" s="42"/>
      <c r="K248" s="42"/>
      <c r="L248" s="42" t="s">
        <v>151</v>
      </c>
      <c r="M248" s="42"/>
      <c r="N248" s="42"/>
      <c r="O248" s="42"/>
      <c r="P248" s="42"/>
      <c r="Q248" s="147"/>
      <c r="S248" s="148"/>
    </row>
    <row r="249" spans="1:36" s="28" customFormat="1" ht="16.899999999999999" customHeight="1">
      <c r="A249" s="197" t="str">
        <f>IF(F249&lt;&gt;"",1+MAX($A$2:A248),"")</f>
        <v/>
      </c>
      <c r="B249" s="198"/>
      <c r="C249" s="56"/>
      <c r="D249" s="200" t="s">
        <v>212</v>
      </c>
      <c r="E249" s="199"/>
      <c r="F249" s="218"/>
      <c r="G249" s="218"/>
      <c r="H249" s="199"/>
      <c r="I249" s="199"/>
      <c r="J249" s="199"/>
      <c r="K249" s="199"/>
      <c r="L249" s="116"/>
      <c r="M249" s="116"/>
      <c r="N249" s="116"/>
      <c r="O249" s="116"/>
      <c r="P249" s="116"/>
      <c r="Q249" s="179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  <c r="AC249" s="180"/>
      <c r="AD249" s="180"/>
      <c r="AE249" s="180"/>
      <c r="AF249" s="180"/>
      <c r="AG249" s="180"/>
      <c r="AH249" s="180"/>
      <c r="AI249" s="180"/>
      <c r="AJ249" s="180"/>
    </row>
    <row r="250" spans="1:36" s="28" customFormat="1" ht="16.899999999999999" customHeight="1">
      <c r="A250" s="162">
        <f>IF(F250&lt;&gt;"",1+MAX($A$2:A249),"")</f>
        <v>155</v>
      </c>
      <c r="B250" s="198"/>
      <c r="C250" s="199"/>
      <c r="D250" s="53" t="s">
        <v>213</v>
      </c>
      <c r="E250" s="56">
        <v>1</v>
      </c>
      <c r="F250" s="102">
        <v>0</v>
      </c>
      <c r="G250" s="103">
        <f t="shared" ref="G250:G254" si="344">E250*(1+F250)</f>
        <v>1</v>
      </c>
      <c r="H250" s="54" t="s">
        <v>55</v>
      </c>
      <c r="I250" s="125">
        <v>1</v>
      </c>
      <c r="J250" s="114">
        <f t="shared" ref="J250:J254" si="345">+I250*G250</f>
        <v>1</v>
      </c>
      <c r="K250" s="115">
        <f>'LABOR SHEET'!C$16</f>
        <v>40</v>
      </c>
      <c r="L250" s="116">
        <f t="shared" ref="L250:L254" si="346">I250*K250</f>
        <v>40</v>
      </c>
      <c r="M250" s="116">
        <f t="shared" ref="M250:M254" si="347">K250*J250</f>
        <v>40</v>
      </c>
      <c r="N250" s="126">
        <v>399</v>
      </c>
      <c r="O250" s="116">
        <f t="shared" ref="O250:O254" si="348">N250*G250</f>
        <v>399</v>
      </c>
      <c r="P250" s="116">
        <f t="shared" ref="P250:P254" si="349">(I250*K250)+N250</f>
        <v>439</v>
      </c>
      <c r="Q250" s="150">
        <f t="shared" ref="Q250:Q254" si="350">P250*G250</f>
        <v>439</v>
      </c>
    </row>
    <row r="251" spans="1:36" s="28" customFormat="1" ht="16.899999999999999" customHeight="1">
      <c r="A251" s="162">
        <f>IF(F251&lt;&gt;"",1+MAX($A$2:A250),"")</f>
        <v>156</v>
      </c>
      <c r="B251" s="198"/>
      <c r="C251" s="199"/>
      <c r="D251" s="53" t="s">
        <v>214</v>
      </c>
      <c r="E251" s="56">
        <v>1</v>
      </c>
      <c r="F251" s="102">
        <v>0</v>
      </c>
      <c r="G251" s="103">
        <f t="shared" si="344"/>
        <v>1</v>
      </c>
      <c r="H251" s="54" t="s">
        <v>55</v>
      </c>
      <c r="I251" s="125">
        <f>1.1+1.4</f>
        <v>2.5</v>
      </c>
      <c r="J251" s="114">
        <f t="shared" si="345"/>
        <v>2.5</v>
      </c>
      <c r="K251" s="115">
        <f>'LABOR SHEET'!C$16</f>
        <v>40</v>
      </c>
      <c r="L251" s="116">
        <f t="shared" si="346"/>
        <v>100</v>
      </c>
      <c r="M251" s="116">
        <f t="shared" si="347"/>
        <v>100</v>
      </c>
      <c r="N251" s="126">
        <f>850+1250</f>
        <v>2100</v>
      </c>
      <c r="O251" s="116">
        <f t="shared" si="348"/>
        <v>2100</v>
      </c>
      <c r="P251" s="116">
        <f t="shared" si="349"/>
        <v>2200</v>
      </c>
      <c r="Q251" s="150">
        <f t="shared" si="350"/>
        <v>2200</v>
      </c>
    </row>
    <row r="252" spans="1:36" s="28" customFormat="1" ht="16.899999999999999" customHeight="1">
      <c r="A252" s="162">
        <f>IF(F252&lt;&gt;"",1+MAX($A$2:A251),"")</f>
        <v>157</v>
      </c>
      <c r="B252" s="198"/>
      <c r="C252" s="199"/>
      <c r="D252" s="53" t="s">
        <v>215</v>
      </c>
      <c r="E252" s="56">
        <v>1</v>
      </c>
      <c r="F252" s="102">
        <v>0</v>
      </c>
      <c r="G252" s="103">
        <f t="shared" si="344"/>
        <v>1</v>
      </c>
      <c r="H252" s="54" t="s">
        <v>55</v>
      </c>
      <c r="I252" s="125">
        <v>1.8</v>
      </c>
      <c r="J252" s="114">
        <f t="shared" si="345"/>
        <v>1.8</v>
      </c>
      <c r="K252" s="115">
        <f>'LABOR SHEET'!C$16</f>
        <v>40</v>
      </c>
      <c r="L252" s="116">
        <f t="shared" si="346"/>
        <v>72</v>
      </c>
      <c r="M252" s="116">
        <f t="shared" si="347"/>
        <v>72</v>
      </c>
      <c r="N252" s="126">
        <v>1850</v>
      </c>
      <c r="O252" s="116">
        <f t="shared" si="348"/>
        <v>1850</v>
      </c>
      <c r="P252" s="116">
        <f t="shared" si="349"/>
        <v>1922</v>
      </c>
      <c r="Q252" s="150">
        <f t="shared" si="350"/>
        <v>1922</v>
      </c>
    </row>
    <row r="253" spans="1:36" s="28" customFormat="1" ht="16.899999999999999" customHeight="1">
      <c r="A253" s="162">
        <f>IF(F253&lt;&gt;"",1+MAX($A$2:A252),"")</f>
        <v>158</v>
      </c>
      <c r="B253" s="198"/>
      <c r="C253" s="199"/>
      <c r="D253" s="53" t="s">
        <v>216</v>
      </c>
      <c r="E253" s="56">
        <v>1</v>
      </c>
      <c r="F253" s="102">
        <v>0</v>
      </c>
      <c r="G253" s="103">
        <f t="shared" si="344"/>
        <v>1</v>
      </c>
      <c r="H253" s="54" t="s">
        <v>55</v>
      </c>
      <c r="I253" s="125">
        <v>2.9</v>
      </c>
      <c r="J253" s="114">
        <f t="shared" si="345"/>
        <v>2.9</v>
      </c>
      <c r="K253" s="115">
        <f>'LABOR SHEET'!C$16</f>
        <v>40</v>
      </c>
      <c r="L253" s="116">
        <f t="shared" si="346"/>
        <v>116</v>
      </c>
      <c r="M253" s="116">
        <f t="shared" si="347"/>
        <v>116</v>
      </c>
      <c r="N253" s="126">
        <v>2999</v>
      </c>
      <c r="O253" s="116">
        <f t="shared" si="348"/>
        <v>2999</v>
      </c>
      <c r="P253" s="116">
        <f t="shared" si="349"/>
        <v>3115</v>
      </c>
      <c r="Q253" s="150">
        <f t="shared" si="350"/>
        <v>3115</v>
      </c>
    </row>
    <row r="254" spans="1:36" s="28" customFormat="1" ht="16.899999999999999" customHeight="1">
      <c r="A254" s="162">
        <f>IF(F254&lt;&gt;"",1+MAX($A$2:A253),"")</f>
        <v>159</v>
      </c>
      <c r="B254" s="198"/>
      <c r="C254" s="199"/>
      <c r="D254" s="53" t="s">
        <v>217</v>
      </c>
      <c r="E254" s="56">
        <v>1</v>
      </c>
      <c r="F254" s="102">
        <v>0</v>
      </c>
      <c r="G254" s="103">
        <f t="shared" si="344"/>
        <v>1</v>
      </c>
      <c r="H254" s="54" t="s">
        <v>55</v>
      </c>
      <c r="I254" s="125">
        <v>1.4</v>
      </c>
      <c r="J254" s="114">
        <f t="shared" si="345"/>
        <v>1.4</v>
      </c>
      <c r="K254" s="115">
        <f>'LABOR SHEET'!C$16</f>
        <v>40</v>
      </c>
      <c r="L254" s="116">
        <f t="shared" si="346"/>
        <v>56</v>
      </c>
      <c r="M254" s="116">
        <f t="shared" si="347"/>
        <v>56</v>
      </c>
      <c r="N254" s="126">
        <v>1250</v>
      </c>
      <c r="O254" s="116">
        <f t="shared" si="348"/>
        <v>1250</v>
      </c>
      <c r="P254" s="116">
        <f t="shared" si="349"/>
        <v>1306</v>
      </c>
      <c r="Q254" s="150">
        <f t="shared" si="350"/>
        <v>1306</v>
      </c>
    </row>
    <row r="255" spans="1:36" s="28" customFormat="1" ht="16.899999999999999" customHeight="1">
      <c r="A255" s="184" t="str">
        <f>IF(F255&lt;&gt;"",1+MAX($A$2:A254),"")</f>
        <v/>
      </c>
      <c r="B255" s="205"/>
      <c r="C255" s="206"/>
      <c r="D255" s="53"/>
      <c r="E255" s="60"/>
      <c r="F255" s="188"/>
      <c r="G255" s="189"/>
      <c r="H255" s="58"/>
      <c r="I255" s="117"/>
      <c r="J255" s="231"/>
      <c r="K255" s="232"/>
      <c r="L255" s="120"/>
      <c r="M255" s="120"/>
      <c r="N255" s="120"/>
      <c r="O255" s="120"/>
      <c r="P255" s="120"/>
      <c r="Q255" s="233"/>
    </row>
    <row r="256" spans="1:36" s="28" customFormat="1" ht="16.899999999999999" customHeight="1">
      <c r="A256" s="162" t="str">
        <f>IF(F256&lt;&gt;"",1+MAX($A$2:A255),"")</f>
        <v/>
      </c>
      <c r="B256" s="198"/>
      <c r="C256" s="199"/>
      <c r="D256" s="67" t="s">
        <v>51</v>
      </c>
      <c r="E256" s="213"/>
      <c r="F256" s="213"/>
      <c r="G256" s="214"/>
      <c r="H256" s="213"/>
      <c r="I256" s="213"/>
      <c r="J256" s="131"/>
      <c r="K256" s="131"/>
      <c r="L256" s="132"/>
      <c r="M256" s="133"/>
      <c r="N256" s="132"/>
      <c r="O256" s="132"/>
      <c r="P256" s="230"/>
      <c r="Q256" s="144">
        <f>SUM(Q250:Q254)</f>
        <v>8982</v>
      </c>
      <c r="S256" s="148"/>
    </row>
    <row r="257" spans="1:36" s="28" customFormat="1" ht="16.899999999999999" customHeight="1">
      <c r="A257" s="238" t="str">
        <f>IF(F257&lt;&gt;"",1+MAX($A$2:A256),"")</f>
        <v/>
      </c>
      <c r="B257" s="217"/>
      <c r="C257" s="217"/>
      <c r="D257" s="217"/>
      <c r="E257" s="217"/>
      <c r="F257" s="217"/>
      <c r="G257" s="217"/>
      <c r="H257" s="217"/>
      <c r="I257" s="217"/>
      <c r="J257" s="217"/>
      <c r="K257" s="217"/>
      <c r="L257" s="217"/>
      <c r="M257" s="217"/>
      <c r="N257" s="217"/>
      <c r="O257" s="217"/>
      <c r="P257" s="217"/>
      <c r="Q257" s="237"/>
      <c r="S257" s="148"/>
    </row>
    <row r="258" spans="1:36" s="28" customFormat="1" ht="16.899999999999999" customHeight="1">
      <c r="A258" s="41" t="str">
        <f>IF(F258&lt;&gt;"",1+MAX($A$2:A257),"")</f>
        <v/>
      </c>
      <c r="B258" s="42"/>
      <c r="C258" s="42">
        <v>12</v>
      </c>
      <c r="D258" s="44" t="s">
        <v>218</v>
      </c>
      <c r="E258" s="42"/>
      <c r="F258" s="42"/>
      <c r="G258" s="42"/>
      <c r="H258" s="42"/>
      <c r="I258" s="42"/>
      <c r="J258" s="42"/>
      <c r="K258" s="42"/>
      <c r="L258" s="42" t="s">
        <v>151</v>
      </c>
      <c r="M258" s="42"/>
      <c r="N258" s="42"/>
      <c r="O258" s="42"/>
      <c r="P258" s="42"/>
      <c r="Q258" s="147"/>
      <c r="S258" s="148"/>
    </row>
    <row r="259" spans="1:36" s="28" customFormat="1" ht="16.899999999999999" customHeight="1">
      <c r="A259" s="162" t="str">
        <f>IF(F259&lt;&gt;"",1+MAX($A$2:A258),"")</f>
        <v/>
      </c>
      <c r="B259" s="239"/>
      <c r="C259" s="56"/>
      <c r="D259" s="200" t="s">
        <v>219</v>
      </c>
      <c r="E259" s="54"/>
      <c r="F259" s="54"/>
      <c r="G259" s="54"/>
      <c r="H259" s="54"/>
      <c r="I259" s="199"/>
      <c r="J259" s="199"/>
      <c r="K259" s="199"/>
      <c r="L259" s="116"/>
      <c r="M259" s="116"/>
      <c r="N259" s="116"/>
      <c r="O259" s="116"/>
      <c r="P259" s="116"/>
      <c r="Q259" s="179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</row>
    <row r="260" spans="1:36" s="28" customFormat="1" ht="16.899999999999999" customHeight="1">
      <c r="A260" s="162">
        <f>IF(F260&lt;&gt;"",1+MAX($A$2:A259),"")</f>
        <v>160</v>
      </c>
      <c r="B260" s="239"/>
      <c r="C260" s="56"/>
      <c r="D260" s="53" t="s">
        <v>220</v>
      </c>
      <c r="E260" s="56">
        <v>1.5</v>
      </c>
      <c r="F260" s="102">
        <v>0.05</v>
      </c>
      <c r="G260" s="103">
        <f t="shared" ref="G260:G266" si="351">E260*(1+F260)</f>
        <v>1.575</v>
      </c>
      <c r="H260" s="54" t="s">
        <v>64</v>
      </c>
      <c r="I260" s="125">
        <v>0.45</v>
      </c>
      <c r="J260" s="114">
        <f t="shared" ref="J260" si="352">+I260*G260</f>
        <v>0.70874999999999999</v>
      </c>
      <c r="K260" s="115">
        <f>'LABOR SHEET'!C$9</f>
        <v>49.85</v>
      </c>
      <c r="L260" s="116">
        <f t="shared" ref="L260" si="353">I260*K260</f>
        <v>22.432500000000001</v>
      </c>
      <c r="M260" s="116">
        <f t="shared" ref="M260" si="354">K260*J260</f>
        <v>35.331187499999999</v>
      </c>
      <c r="N260" s="126">
        <v>145</v>
      </c>
      <c r="O260" s="116">
        <f t="shared" ref="O260" si="355">N260*G260</f>
        <v>228.375</v>
      </c>
      <c r="P260" s="116">
        <f t="shared" ref="P260" si="356">(I260*K260)+N260</f>
        <v>167.4325</v>
      </c>
      <c r="Q260" s="150">
        <f t="shared" ref="Q260" si="357">P260*G260</f>
        <v>263.7061875</v>
      </c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</row>
    <row r="261" spans="1:36" s="28" customFormat="1" ht="16.899999999999999" customHeight="1">
      <c r="A261" s="162">
        <f>IF(F261&lt;&gt;"",1+MAX($A$2:A260),"")</f>
        <v>161</v>
      </c>
      <c r="B261" s="239"/>
      <c r="C261" s="56"/>
      <c r="D261" s="53" t="s">
        <v>221</v>
      </c>
      <c r="E261" s="56">
        <v>21.51</v>
      </c>
      <c r="F261" s="102">
        <v>0.05</v>
      </c>
      <c r="G261" s="103">
        <f t="shared" ref="G261" si="358">E261*(1+F261)</f>
        <v>22.5855</v>
      </c>
      <c r="H261" s="54" t="s">
        <v>64</v>
      </c>
      <c r="I261" s="125">
        <v>1</v>
      </c>
      <c r="J261" s="114">
        <f t="shared" ref="J261:J266" si="359">+I261*G261</f>
        <v>22.5855</v>
      </c>
      <c r="K261" s="115">
        <f>'LABOR SHEET'!C$9</f>
        <v>49.85</v>
      </c>
      <c r="L261" s="116">
        <f t="shared" ref="L261:L266" si="360">I261*K261</f>
        <v>49.85</v>
      </c>
      <c r="M261" s="116">
        <f t="shared" ref="M261:M266" si="361">K261*J261</f>
        <v>1125.8871750000001</v>
      </c>
      <c r="N261" s="126">
        <v>185</v>
      </c>
      <c r="O261" s="116">
        <f t="shared" ref="O261:O266" si="362">N261*G261</f>
        <v>4178.3175000000001</v>
      </c>
      <c r="P261" s="116">
        <f t="shared" ref="P261:P266" si="363">(I261*K261)+N261</f>
        <v>234.85</v>
      </c>
      <c r="Q261" s="150">
        <f t="shared" ref="Q261:Q266" si="364">P261*G261</f>
        <v>5304.204675</v>
      </c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</row>
    <row r="262" spans="1:36" s="28" customFormat="1" ht="16.899999999999999" customHeight="1">
      <c r="A262" s="162">
        <f>IF(F262&lt;&gt;"",1+MAX($A$2:A261),"")</f>
        <v>162</v>
      </c>
      <c r="B262" s="239"/>
      <c r="C262" s="56"/>
      <c r="D262" s="53" t="s">
        <v>222</v>
      </c>
      <c r="E262" s="56">
        <v>9.48</v>
      </c>
      <c r="F262" s="102">
        <v>0.05</v>
      </c>
      <c r="G262" s="103">
        <f t="shared" si="351"/>
        <v>9.9540000000000006</v>
      </c>
      <c r="H262" s="54" t="s">
        <v>64</v>
      </c>
      <c r="I262" s="125">
        <v>0.68</v>
      </c>
      <c r="J262" s="114">
        <f t="shared" si="359"/>
        <v>6.7687200000000001</v>
      </c>
      <c r="K262" s="115">
        <f>'LABOR SHEET'!C$9</f>
        <v>49.85</v>
      </c>
      <c r="L262" s="116">
        <f t="shared" si="360"/>
        <v>33.898000000000003</v>
      </c>
      <c r="M262" s="116">
        <f t="shared" si="361"/>
        <v>337.42069199999997</v>
      </c>
      <c r="N262" s="126">
        <v>190</v>
      </c>
      <c r="O262" s="116">
        <f t="shared" si="362"/>
        <v>1891.26</v>
      </c>
      <c r="P262" s="116">
        <f t="shared" si="363"/>
        <v>223.898</v>
      </c>
      <c r="Q262" s="150">
        <f t="shared" si="364"/>
        <v>2228.6806919999999</v>
      </c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</row>
    <row r="263" spans="1:36" s="28" customFormat="1" ht="16.899999999999999" customHeight="1">
      <c r="A263" s="162">
        <f>IF(F263&lt;&gt;"",1+MAX($A$2:A262),"")</f>
        <v>163</v>
      </c>
      <c r="B263" s="239"/>
      <c r="C263" s="56"/>
      <c r="D263" s="53" t="s">
        <v>223</v>
      </c>
      <c r="E263" s="56">
        <v>7.42</v>
      </c>
      <c r="F263" s="102">
        <v>0.05</v>
      </c>
      <c r="G263" s="103">
        <f t="shared" ref="G263" si="365">E263*(1+F263)</f>
        <v>7.7910000000000004</v>
      </c>
      <c r="H263" s="54" t="s">
        <v>64</v>
      </c>
      <c r="I263" s="125">
        <v>0.7</v>
      </c>
      <c r="J263" s="114">
        <f t="shared" si="359"/>
        <v>5.4537000000000004</v>
      </c>
      <c r="K263" s="115">
        <f>'LABOR SHEET'!C$9</f>
        <v>49.85</v>
      </c>
      <c r="L263" s="116">
        <f t="shared" si="360"/>
        <v>34.895000000000003</v>
      </c>
      <c r="M263" s="116">
        <f t="shared" si="361"/>
        <v>271.86694499999999</v>
      </c>
      <c r="N263" s="126">
        <v>185</v>
      </c>
      <c r="O263" s="116">
        <f t="shared" si="362"/>
        <v>1441.335</v>
      </c>
      <c r="P263" s="116">
        <f t="shared" si="363"/>
        <v>219.89500000000001</v>
      </c>
      <c r="Q263" s="150">
        <f t="shared" si="364"/>
        <v>1713.201945</v>
      </c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</row>
    <row r="264" spans="1:36" s="28" customFormat="1" ht="16.899999999999999" customHeight="1">
      <c r="A264" s="162">
        <f>IF(F264&lt;&gt;"",1+MAX($A$2:A263),"")</f>
        <v>164</v>
      </c>
      <c r="B264" s="239"/>
      <c r="C264" s="56"/>
      <c r="D264" s="53" t="s">
        <v>224</v>
      </c>
      <c r="E264" s="56">
        <v>13.17</v>
      </c>
      <c r="F264" s="102">
        <v>0.05</v>
      </c>
      <c r="G264" s="103">
        <f t="shared" si="351"/>
        <v>13.8285</v>
      </c>
      <c r="H264" s="54" t="s">
        <v>64</v>
      </c>
      <c r="I264" s="125">
        <v>0.57999999999999996</v>
      </c>
      <c r="J264" s="114">
        <f t="shared" si="359"/>
        <v>8.0205300000000008</v>
      </c>
      <c r="K264" s="115">
        <f>'LABOR SHEET'!C$9</f>
        <v>49.85</v>
      </c>
      <c r="L264" s="116">
        <f t="shared" si="360"/>
        <v>28.913</v>
      </c>
      <c r="M264" s="116">
        <f t="shared" si="361"/>
        <v>399.8234205</v>
      </c>
      <c r="N264" s="126">
        <v>140</v>
      </c>
      <c r="O264" s="116">
        <f t="shared" si="362"/>
        <v>1935.99</v>
      </c>
      <c r="P264" s="116">
        <f t="shared" si="363"/>
        <v>168.91300000000001</v>
      </c>
      <c r="Q264" s="150">
        <f t="shared" si="364"/>
        <v>2335.8134205000001</v>
      </c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</row>
    <row r="265" spans="1:36" s="28" customFormat="1" ht="16.899999999999999" customHeight="1">
      <c r="A265" s="162">
        <f>IF(F265&lt;&gt;"",1+MAX($A$2:A264),"")</f>
        <v>165</v>
      </c>
      <c r="B265" s="239"/>
      <c r="C265" s="56"/>
      <c r="D265" s="53" t="s">
        <v>225</v>
      </c>
      <c r="E265" s="56">
        <v>1</v>
      </c>
      <c r="F265" s="102">
        <v>0</v>
      </c>
      <c r="G265" s="103">
        <f t="shared" ref="G265" si="366">E265*(1+F265)</f>
        <v>1</v>
      </c>
      <c r="H265" s="54" t="s">
        <v>55</v>
      </c>
      <c r="I265" s="125">
        <f>0.68*5</f>
        <v>3.4</v>
      </c>
      <c r="J265" s="114">
        <f t="shared" si="359"/>
        <v>3.4</v>
      </c>
      <c r="K265" s="115">
        <f>'LABOR SHEET'!C$9</f>
        <v>49.85</v>
      </c>
      <c r="L265" s="116">
        <f t="shared" si="360"/>
        <v>169.49</v>
      </c>
      <c r="M265" s="116">
        <f t="shared" si="361"/>
        <v>169.49</v>
      </c>
      <c r="N265" s="126">
        <f>225*5</f>
        <v>1125</v>
      </c>
      <c r="O265" s="116">
        <f t="shared" si="362"/>
        <v>1125</v>
      </c>
      <c r="P265" s="116">
        <f t="shared" si="363"/>
        <v>1294.49</v>
      </c>
      <c r="Q265" s="150">
        <f t="shared" si="364"/>
        <v>1294.49</v>
      </c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</row>
    <row r="266" spans="1:36" s="28" customFormat="1" ht="16.899999999999999" customHeight="1">
      <c r="A266" s="162">
        <f>IF(F266&lt;&gt;"",1+MAX($A$2:A265),"")</f>
        <v>166</v>
      </c>
      <c r="B266" s="239"/>
      <c r="C266" s="56"/>
      <c r="D266" s="53" t="s">
        <v>226</v>
      </c>
      <c r="E266" s="56">
        <v>1</v>
      </c>
      <c r="F266" s="102">
        <v>0</v>
      </c>
      <c r="G266" s="103">
        <f t="shared" si="351"/>
        <v>1</v>
      </c>
      <c r="H266" s="54" t="s">
        <v>55</v>
      </c>
      <c r="I266" s="125">
        <f>1.15*(2+2/12)</f>
        <v>2.4916666666666698</v>
      </c>
      <c r="J266" s="114">
        <f t="shared" si="359"/>
        <v>2.4916666666666698</v>
      </c>
      <c r="K266" s="115">
        <f>'LABOR SHEET'!C$9</f>
        <v>49.85</v>
      </c>
      <c r="L266" s="116">
        <f t="shared" si="360"/>
        <v>124.209583333333</v>
      </c>
      <c r="M266" s="116">
        <f t="shared" si="361"/>
        <v>124.209583333333</v>
      </c>
      <c r="N266" s="126">
        <f>195*(2+2/120)</f>
        <v>393.25</v>
      </c>
      <c r="O266" s="116">
        <f t="shared" si="362"/>
        <v>393.25</v>
      </c>
      <c r="P266" s="116">
        <f t="shared" si="363"/>
        <v>517.45958333333294</v>
      </c>
      <c r="Q266" s="150">
        <f t="shared" si="364"/>
        <v>517.45958333333294</v>
      </c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</row>
    <row r="267" spans="1:36" s="28" customFormat="1" ht="16.899999999999999" customHeight="1">
      <c r="A267" s="162" t="str">
        <f>IF(F267&lt;&gt;"",1+MAX($A$2:A266),"")</f>
        <v/>
      </c>
      <c r="B267" s="239"/>
      <c r="C267" s="56"/>
      <c r="D267" s="203"/>
      <c r="E267" s="54"/>
      <c r="F267" s="54"/>
      <c r="G267" s="54"/>
      <c r="H267" s="54"/>
      <c r="I267" s="269"/>
      <c r="J267" s="199"/>
      <c r="K267" s="199"/>
      <c r="L267" s="116"/>
      <c r="M267" s="116"/>
      <c r="N267" s="126"/>
      <c r="O267" s="116"/>
      <c r="P267" s="116"/>
      <c r="Q267" s="179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  <c r="AE267" s="180"/>
      <c r="AF267" s="180"/>
      <c r="AG267" s="180"/>
      <c r="AH267" s="180"/>
      <c r="AI267" s="180"/>
      <c r="AJ267" s="180"/>
    </row>
    <row r="268" spans="1:36" s="28" customFormat="1" ht="16.899999999999999" customHeight="1">
      <c r="A268" s="162" t="str">
        <f>IF(F268&lt;&gt;"",1+MAX($A$2:A267),"")</f>
        <v/>
      </c>
      <c r="B268" s="239"/>
      <c r="C268" s="56"/>
      <c r="D268" s="200" t="s">
        <v>227</v>
      </c>
      <c r="E268" s="54"/>
      <c r="F268" s="54"/>
      <c r="G268" s="54"/>
      <c r="H268" s="54"/>
      <c r="I268" s="269"/>
      <c r="J268" s="199"/>
      <c r="K268" s="199"/>
      <c r="L268" s="116"/>
      <c r="M268" s="116"/>
      <c r="N268" s="126"/>
      <c r="O268" s="116"/>
      <c r="P268" s="116"/>
      <c r="Q268" s="179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  <c r="AB268" s="180"/>
      <c r="AC268" s="180"/>
      <c r="AD268" s="180"/>
      <c r="AE268" s="180"/>
      <c r="AF268" s="180"/>
      <c r="AG268" s="180"/>
      <c r="AH268" s="180"/>
      <c r="AI268" s="180"/>
      <c r="AJ268" s="180"/>
    </row>
    <row r="269" spans="1:36" s="28" customFormat="1" ht="16.899999999999999" customHeight="1">
      <c r="A269" s="162">
        <f>IF(F269&lt;&gt;"",1+MAX($A$2:A268),"")</f>
        <v>167</v>
      </c>
      <c r="B269" s="239"/>
      <c r="C269" s="56"/>
      <c r="D269" s="53" t="s">
        <v>228</v>
      </c>
      <c r="E269" s="56">
        <f>+E262+E263</f>
        <v>16.899999999999999</v>
      </c>
      <c r="F269" s="102">
        <v>0.05</v>
      </c>
      <c r="G269" s="103">
        <f t="shared" ref="G269:G272" si="367">E269*(1+F269)</f>
        <v>17.745000000000001</v>
      </c>
      <c r="H269" s="54" t="s">
        <v>64</v>
      </c>
      <c r="I269" s="125">
        <v>3.7999999999999999E-2</v>
      </c>
      <c r="J269" s="114">
        <f t="shared" ref="J269:J272" si="368">+I269*G269</f>
        <v>0.67430999999999996</v>
      </c>
      <c r="K269" s="115">
        <f>'LABOR SHEET'!C$9</f>
        <v>49.85</v>
      </c>
      <c r="L269" s="116">
        <f t="shared" ref="L269:L272" si="369">I269*K269</f>
        <v>1.8943000000000001</v>
      </c>
      <c r="M269" s="116">
        <f t="shared" ref="M269:M272" si="370">K269*J269</f>
        <v>33.6143535</v>
      </c>
      <c r="N269" s="126">
        <v>18.5</v>
      </c>
      <c r="O269" s="116">
        <f t="shared" ref="O269:O272" si="371">N269*G269</f>
        <v>328.28250000000003</v>
      </c>
      <c r="P269" s="116">
        <f t="shared" ref="P269:P272" si="372">(I269*K269)+N269</f>
        <v>20.394300000000001</v>
      </c>
      <c r="Q269" s="150">
        <f t="shared" ref="Q269:Q272" si="373">P269*G269</f>
        <v>361.89685350000002</v>
      </c>
      <c r="R269" s="180"/>
      <c r="S269" s="180"/>
      <c r="T269" s="180"/>
      <c r="U269" s="180"/>
      <c r="V269" s="180"/>
      <c r="W269" s="180"/>
      <c r="X269" s="180"/>
      <c r="Y269" s="180"/>
      <c r="Z269" s="180"/>
      <c r="AA269" s="180"/>
      <c r="AB269" s="180"/>
      <c r="AC269" s="180"/>
      <c r="AD269" s="180"/>
      <c r="AE269" s="180"/>
      <c r="AF269" s="180"/>
      <c r="AG269" s="180"/>
      <c r="AH269" s="180"/>
      <c r="AI269" s="180"/>
      <c r="AJ269" s="180"/>
    </row>
    <row r="270" spans="1:36" s="28" customFormat="1" ht="16.899999999999999" customHeight="1">
      <c r="A270" s="162">
        <f>IF(F270&lt;&gt;"",1+MAX($A$2:A269),"")</f>
        <v>168</v>
      </c>
      <c r="B270" s="239"/>
      <c r="C270" s="56"/>
      <c r="D270" s="53" t="s">
        <v>227</v>
      </c>
      <c r="E270" s="56">
        <f>+E263*2.17</f>
        <v>16.101400000000002</v>
      </c>
      <c r="F270" s="102">
        <v>0.1</v>
      </c>
      <c r="G270" s="103">
        <f t="shared" si="367"/>
        <v>17.711539999999999</v>
      </c>
      <c r="H270" s="54" t="s">
        <v>61</v>
      </c>
      <c r="I270" s="125">
        <v>0.66700000000000004</v>
      </c>
      <c r="J270" s="114">
        <f t="shared" si="368"/>
        <v>11.81359718</v>
      </c>
      <c r="K270" s="115">
        <f>'LABOR SHEET'!C$9</f>
        <v>49.85</v>
      </c>
      <c r="L270" s="116">
        <f t="shared" si="369"/>
        <v>33.249949999999998</v>
      </c>
      <c r="M270" s="116">
        <f t="shared" si="370"/>
        <v>588.90781942299998</v>
      </c>
      <c r="N270" s="126">
        <v>85</v>
      </c>
      <c r="O270" s="116">
        <f t="shared" si="371"/>
        <v>1505.4809</v>
      </c>
      <c r="P270" s="116">
        <f t="shared" si="372"/>
        <v>118.24995</v>
      </c>
      <c r="Q270" s="150">
        <f t="shared" si="373"/>
        <v>2094.3887194230001</v>
      </c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  <c r="AB270" s="180"/>
      <c r="AC270" s="180"/>
      <c r="AD270" s="180"/>
      <c r="AE270" s="180"/>
      <c r="AF270" s="180"/>
      <c r="AG270" s="180"/>
      <c r="AH270" s="180"/>
      <c r="AI270" s="180"/>
      <c r="AJ270" s="180"/>
    </row>
    <row r="271" spans="1:36" s="28" customFormat="1" ht="16.899999999999999" customHeight="1">
      <c r="A271" s="162">
        <f>IF(F271&lt;&gt;"",1+MAX($A$2:A270),"")</f>
        <v>169</v>
      </c>
      <c r="B271" s="239"/>
      <c r="C271" s="56"/>
      <c r="D271" s="53" t="s">
        <v>229</v>
      </c>
      <c r="E271" s="56">
        <f>+E262*2.17</f>
        <v>20.5716</v>
      </c>
      <c r="F271" s="102">
        <v>0.1</v>
      </c>
      <c r="G271" s="103">
        <f t="shared" si="367"/>
        <v>22.62876</v>
      </c>
      <c r="H271" s="54" t="s">
        <v>61</v>
      </c>
      <c r="I271" s="125">
        <v>0.66200000000000003</v>
      </c>
      <c r="J271" s="114">
        <f t="shared" si="368"/>
        <v>14.98023912</v>
      </c>
      <c r="K271" s="115">
        <f>'LABOR SHEET'!C$9</f>
        <v>49.85</v>
      </c>
      <c r="L271" s="116">
        <f t="shared" si="369"/>
        <v>33.000700000000002</v>
      </c>
      <c r="M271" s="116">
        <f t="shared" si="370"/>
        <v>746.76492013200004</v>
      </c>
      <c r="N271" s="126">
        <v>80</v>
      </c>
      <c r="O271" s="116">
        <f t="shared" si="371"/>
        <v>1810.3008</v>
      </c>
      <c r="P271" s="116">
        <f t="shared" si="372"/>
        <v>113.00069999999999</v>
      </c>
      <c r="Q271" s="150">
        <f t="shared" si="373"/>
        <v>2557.065720132</v>
      </c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  <c r="AB271" s="180"/>
      <c r="AC271" s="180"/>
      <c r="AD271" s="180"/>
      <c r="AE271" s="180"/>
      <c r="AF271" s="180"/>
      <c r="AG271" s="180"/>
      <c r="AH271" s="180"/>
      <c r="AI271" s="180"/>
      <c r="AJ271" s="180"/>
    </row>
    <row r="272" spans="1:36" s="28" customFormat="1" ht="16.899999999999999" customHeight="1">
      <c r="A272" s="162">
        <f>IF(F272&lt;&gt;"",1+MAX($A$2:A271),"")</f>
        <v>170</v>
      </c>
      <c r="B272" s="239"/>
      <c r="C272" s="199"/>
      <c r="D272" s="53" t="s">
        <v>230</v>
      </c>
      <c r="E272" s="56">
        <f>5*3.17</f>
        <v>15.85</v>
      </c>
      <c r="F272" s="102">
        <v>0.1</v>
      </c>
      <c r="G272" s="103">
        <f t="shared" si="367"/>
        <v>17.434999999999999</v>
      </c>
      <c r="H272" s="54" t="s">
        <v>61</v>
      </c>
      <c r="I272" s="125">
        <v>0.55800000000000005</v>
      </c>
      <c r="J272" s="114">
        <f t="shared" si="368"/>
        <v>9.7287300000000005</v>
      </c>
      <c r="K272" s="115">
        <f>'LABOR SHEET'!C$9</f>
        <v>49.85</v>
      </c>
      <c r="L272" s="116">
        <f t="shared" si="369"/>
        <v>27.816299999999998</v>
      </c>
      <c r="M272" s="116">
        <f t="shared" si="370"/>
        <v>484.97719050000001</v>
      </c>
      <c r="N272" s="126">
        <v>70</v>
      </c>
      <c r="O272" s="116">
        <f t="shared" si="371"/>
        <v>1220.45</v>
      </c>
      <c r="P272" s="116">
        <f t="shared" si="372"/>
        <v>97.816299999999998</v>
      </c>
      <c r="Q272" s="150">
        <f t="shared" si="373"/>
        <v>1705.4271905000001</v>
      </c>
    </row>
    <row r="273" spans="1:36" s="28" customFormat="1" ht="16.899999999999999" customHeight="1">
      <c r="A273" s="184" t="str">
        <f>IF(F273&lt;&gt;"",1+MAX($A$2:A272),"")</f>
        <v/>
      </c>
      <c r="B273" s="240"/>
      <c r="C273" s="206"/>
      <c r="D273" s="53"/>
      <c r="E273" s="60"/>
      <c r="F273" s="188"/>
      <c r="G273" s="189"/>
      <c r="H273" s="58"/>
      <c r="I273" s="117"/>
      <c r="J273" s="114"/>
      <c r="K273" s="232"/>
      <c r="L273" s="120"/>
      <c r="M273" s="120"/>
      <c r="N273" s="120"/>
      <c r="O273" s="120"/>
      <c r="P273" s="120"/>
      <c r="Q273" s="233"/>
    </row>
    <row r="274" spans="1:36" s="28" customFormat="1" ht="16.899999999999999" customHeight="1">
      <c r="A274" s="162" t="str">
        <f>IF(F274&lt;&gt;"",1+MAX($A$2:A273),"")</f>
        <v/>
      </c>
      <c r="B274" s="198"/>
      <c r="C274" s="199"/>
      <c r="D274" s="67" t="s">
        <v>51</v>
      </c>
      <c r="E274" s="213"/>
      <c r="F274" s="213"/>
      <c r="G274" s="214"/>
      <c r="H274" s="213"/>
      <c r="I274" s="213"/>
      <c r="J274" s="131"/>
      <c r="K274" s="131"/>
      <c r="L274" s="132"/>
      <c r="M274" s="133"/>
      <c r="N274" s="132"/>
      <c r="O274" s="132"/>
      <c r="P274" s="230"/>
      <c r="Q274" s="144">
        <f>SUM(Q260:Q272)</f>
        <v>20376.334986888302</v>
      </c>
      <c r="S274" s="148"/>
    </row>
    <row r="275" spans="1:36" s="28" customFormat="1" ht="16.899999999999999" customHeight="1">
      <c r="A275" s="238" t="str">
        <f>IF(F275&lt;&gt;"",1+MAX($A$2:A274),"")</f>
        <v/>
      </c>
      <c r="B275" s="217"/>
      <c r="C275" s="217"/>
      <c r="D275" s="217"/>
      <c r="E275" s="217"/>
      <c r="F275" s="217"/>
      <c r="G275" s="217"/>
      <c r="H275" s="195"/>
      <c r="I275" s="195"/>
      <c r="J275" s="195"/>
      <c r="K275" s="195"/>
      <c r="L275" s="195"/>
      <c r="M275" s="195"/>
      <c r="N275" s="195"/>
      <c r="O275" s="195"/>
      <c r="P275" s="217"/>
      <c r="Q275" s="237"/>
      <c r="S275" s="148"/>
    </row>
    <row r="276" spans="1:36" s="29" customFormat="1" ht="31">
      <c r="A276" s="241"/>
      <c r="B276" s="241"/>
      <c r="C276" s="241"/>
      <c r="D276" s="241"/>
      <c r="E276" s="241"/>
      <c r="F276" s="241"/>
      <c r="G276" s="241"/>
      <c r="H276" s="323" t="s">
        <v>231</v>
      </c>
      <c r="I276" s="323"/>
      <c r="J276" s="270">
        <f>SUM(J18:J275)</f>
        <v>991.30876667211703</v>
      </c>
      <c r="K276" s="324" t="s">
        <v>36</v>
      </c>
      <c r="L276" s="324"/>
      <c r="M276" s="271">
        <f>SUM(M18:M275)</f>
        <v>68224.570804860894</v>
      </c>
      <c r="N276" s="272" t="s">
        <v>38</v>
      </c>
      <c r="O276" s="273">
        <f>SUM(O18:O275)</f>
        <v>114186.51677488101</v>
      </c>
      <c r="P276" s="241"/>
      <c r="Q276" s="280"/>
      <c r="S276" s="178"/>
    </row>
    <row r="277" spans="1:36" s="29" customFormat="1">
      <c r="A277" s="242"/>
      <c r="B277" s="243"/>
      <c r="C277" s="244"/>
      <c r="D277" s="245" t="s">
        <v>232</v>
      </c>
      <c r="E277" s="246"/>
      <c r="F277" s="246"/>
      <c r="G277" s="247"/>
      <c r="H277" s="246"/>
      <c r="I277" s="246"/>
      <c r="J277" s="246"/>
      <c r="K277" s="246"/>
      <c r="L277" s="274"/>
      <c r="M277" s="274"/>
      <c r="N277" s="274"/>
      <c r="O277" s="274"/>
      <c r="P277" s="274"/>
      <c r="Q277" s="281">
        <f>SUM(Q8:Q275)/2</f>
        <v>201011.08757974199</v>
      </c>
      <c r="R277" s="282"/>
    </row>
    <row r="278" spans="1:36" s="29" customFormat="1">
      <c r="A278" s="242"/>
      <c r="B278" s="243"/>
      <c r="C278" s="248"/>
      <c r="D278" s="249" t="s">
        <v>233</v>
      </c>
      <c r="E278" s="250"/>
      <c r="F278" s="244"/>
      <c r="G278" s="250"/>
      <c r="H278" s="244"/>
      <c r="I278" s="244"/>
      <c r="J278" s="244"/>
      <c r="K278" s="244"/>
      <c r="L278" s="275">
        <v>0.05</v>
      </c>
      <c r="M278" s="275"/>
      <c r="N278" s="275"/>
      <c r="O278" s="275"/>
      <c r="P278" s="275"/>
      <c r="Q278" s="281">
        <f>Q277*L278</f>
        <v>10050.554378987101</v>
      </c>
      <c r="R278" s="283"/>
      <c r="S278" s="284"/>
      <c r="T278" s="284"/>
      <c r="U278" s="284"/>
      <c r="V278" s="284"/>
      <c r="W278" s="284"/>
      <c r="X278" s="284"/>
      <c r="Y278" s="284"/>
      <c r="Z278" s="284"/>
      <c r="AA278" s="284"/>
      <c r="AB278" s="284"/>
      <c r="AC278" s="284"/>
      <c r="AD278" s="284"/>
      <c r="AE278" s="284"/>
      <c r="AF278" s="284"/>
      <c r="AG278" s="284"/>
      <c r="AH278" s="284"/>
      <c r="AI278" s="284"/>
      <c r="AJ278" s="284"/>
    </row>
    <row r="279" spans="1:36" s="29" customFormat="1">
      <c r="A279" s="251"/>
      <c r="B279" s="252"/>
      <c r="C279" s="253"/>
      <c r="D279" s="254" t="s">
        <v>234</v>
      </c>
      <c r="E279" s="255"/>
      <c r="F279" s="256"/>
      <c r="G279" s="255"/>
      <c r="H279" s="256"/>
      <c r="I279" s="256"/>
      <c r="J279" s="256"/>
      <c r="K279" s="256"/>
      <c r="L279" s="276">
        <v>0.1</v>
      </c>
      <c r="M279" s="276"/>
      <c r="N279" s="276"/>
      <c r="O279" s="276"/>
      <c r="P279" s="276"/>
      <c r="Q279" s="285">
        <f>Q277*L279</f>
        <v>20101.108757974202</v>
      </c>
      <c r="R279" s="284"/>
      <c r="S279" s="284"/>
      <c r="T279" s="284"/>
      <c r="U279" s="284"/>
      <c r="V279" s="284"/>
      <c r="W279" s="284"/>
      <c r="X279" s="284"/>
      <c r="Y279" s="284"/>
      <c r="Z279" s="284"/>
      <c r="AA279" s="284"/>
      <c r="AB279" s="284"/>
      <c r="AC279" s="284"/>
      <c r="AD279" s="284"/>
      <c r="AE279" s="284"/>
      <c r="AF279" s="284"/>
      <c r="AG279" s="284"/>
      <c r="AH279" s="284"/>
      <c r="AI279" s="284"/>
      <c r="AJ279" s="284"/>
    </row>
    <row r="280" spans="1:36" s="29" customFormat="1">
      <c r="A280" s="257"/>
      <c r="B280" s="258"/>
      <c r="C280" s="259"/>
      <c r="D280" s="260" t="s">
        <v>17</v>
      </c>
      <c r="E280" s="261"/>
      <c r="F280" s="262"/>
      <c r="G280" s="261"/>
      <c r="H280" s="262"/>
      <c r="I280" s="262"/>
      <c r="J280" s="262"/>
      <c r="K280" s="262"/>
      <c r="L280" s="277">
        <v>8.3799999999999999E-2</v>
      </c>
      <c r="M280" s="277"/>
      <c r="N280" s="277"/>
      <c r="O280" s="277"/>
      <c r="P280" s="277"/>
      <c r="Q280" s="286">
        <f>O276*L280</f>
        <v>9568.8301057350109</v>
      </c>
      <c r="R280" s="284"/>
      <c r="S280" s="284"/>
      <c r="T280" s="284"/>
      <c r="U280" s="284"/>
      <c r="V280" s="284"/>
      <c r="W280" s="284"/>
      <c r="X280" s="284"/>
      <c r="Y280" s="284"/>
      <c r="Z280" s="284"/>
      <c r="AA280" s="284"/>
      <c r="AB280" s="284"/>
      <c r="AC280" s="284"/>
      <c r="AD280" s="284"/>
      <c r="AE280" s="284"/>
      <c r="AF280" s="284"/>
      <c r="AG280" s="284"/>
      <c r="AH280" s="284"/>
      <c r="AI280" s="284"/>
      <c r="AJ280" s="284"/>
    </row>
    <row r="281" spans="1:36" s="29" customFormat="1">
      <c r="A281" s="257"/>
      <c r="B281" s="258"/>
      <c r="C281" s="259"/>
      <c r="D281" s="260" t="s">
        <v>18</v>
      </c>
      <c r="E281" s="261"/>
      <c r="F281" s="262"/>
      <c r="G281" s="261"/>
      <c r="H281" s="262"/>
      <c r="I281" s="262"/>
      <c r="J281" s="262"/>
      <c r="K281" s="262"/>
      <c r="L281" s="278">
        <v>1.4999999999999999E-2</v>
      </c>
      <c r="M281" s="278"/>
      <c r="N281" s="278"/>
      <c r="O281" s="278"/>
      <c r="P281" s="278"/>
      <c r="Q281" s="286">
        <f>Q277*L281</f>
        <v>3015.1663136961301</v>
      </c>
      <c r="R281" s="284"/>
      <c r="S281" s="284"/>
      <c r="T281" s="284"/>
      <c r="U281" s="284"/>
      <c r="V281" s="284"/>
      <c r="W281" s="284"/>
      <c r="X281" s="284"/>
      <c r="Y281" s="284"/>
      <c r="Z281" s="284"/>
      <c r="AA281" s="284"/>
      <c r="AB281" s="284"/>
      <c r="AC281" s="284"/>
      <c r="AD281" s="284"/>
      <c r="AE281" s="284"/>
      <c r="AF281" s="284"/>
      <c r="AG281" s="284"/>
      <c r="AH281" s="284"/>
      <c r="AI281" s="284"/>
      <c r="AJ281" s="284"/>
    </row>
    <row r="282" spans="1:36" s="29" customFormat="1">
      <c r="A282" s="263"/>
      <c r="B282" s="264"/>
      <c r="C282" s="265"/>
      <c r="D282" s="266" t="s">
        <v>19</v>
      </c>
      <c r="E282" s="267"/>
      <c r="F282" s="267"/>
      <c r="G282" s="268"/>
      <c r="H282" s="267"/>
      <c r="I282" s="267"/>
      <c r="J282" s="267"/>
      <c r="K282" s="267"/>
      <c r="L282" s="279"/>
      <c r="M282" s="279"/>
      <c r="N282" s="279"/>
      <c r="O282" s="279"/>
      <c r="P282" s="279"/>
      <c r="Q282" s="287">
        <f>SUM(Q277:Q281)</f>
        <v>243746.74713613401</v>
      </c>
    </row>
  </sheetData>
  <mergeCells count="7">
    <mergeCell ref="A2:Q2"/>
    <mergeCell ref="B3:C3"/>
    <mergeCell ref="B4:C4"/>
    <mergeCell ref="B5:C5"/>
    <mergeCell ref="H276:I276"/>
    <mergeCell ref="K276:L276"/>
    <mergeCell ref="Q8:Q14"/>
  </mergeCells>
  <printOptions horizontalCentered="1"/>
  <pageMargins left="0.7" right="0.7" top="0.75" bottom="0.75" header="0.3" footer="0.3"/>
  <pageSetup paperSize="9" scale="36" fitToHeight="0" orientation="portrait"/>
  <headerFooter scaleWithDoc="0" alignWithMargins="0"/>
  <ignoredErrors>
    <ignoredError sqref="I129:N12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50"/>
  <sheetViews>
    <sheetView workbookViewId="0">
      <selection activeCell="C18" sqref="C18"/>
    </sheetView>
  </sheetViews>
  <sheetFormatPr defaultColWidth="9.08203125" defaultRowHeight="14.5"/>
  <cols>
    <col min="1" max="1" width="26.83203125" style="1" customWidth="1"/>
    <col min="2" max="2" width="19.75" style="2" customWidth="1"/>
    <col min="3" max="3" width="20.58203125" style="2" customWidth="1"/>
    <col min="4" max="16384" width="9.08203125" style="2"/>
  </cols>
  <sheetData>
    <row r="1" spans="1:3" ht="15.5">
      <c r="A1" s="3"/>
      <c r="B1" s="4" t="s">
        <v>235</v>
      </c>
      <c r="C1" s="5" t="s">
        <v>236</v>
      </c>
    </row>
    <row r="2" spans="1:3" ht="15.5">
      <c r="A2" s="6"/>
      <c r="B2" s="7"/>
      <c r="C2" s="8"/>
    </row>
    <row r="3" spans="1:3" ht="15.5">
      <c r="A3" s="9" t="s">
        <v>237</v>
      </c>
      <c r="B3" s="10" t="s">
        <v>238</v>
      </c>
      <c r="C3" s="11">
        <v>79.3</v>
      </c>
    </row>
    <row r="4" spans="1:3" ht="15.5">
      <c r="A4" s="9" t="s">
        <v>239</v>
      </c>
      <c r="B4" s="10" t="s">
        <v>240</v>
      </c>
      <c r="C4" s="11">
        <v>83.3</v>
      </c>
    </row>
    <row r="5" spans="1:3" ht="15.5">
      <c r="A5" s="9" t="s">
        <v>241</v>
      </c>
      <c r="B5" s="10" t="s">
        <v>242</v>
      </c>
      <c r="C5" s="11">
        <v>83.3</v>
      </c>
    </row>
    <row r="6" spans="1:3" ht="15.5">
      <c r="A6" s="9" t="s">
        <v>243</v>
      </c>
      <c r="B6" s="10" t="s">
        <v>244</v>
      </c>
      <c r="C6" s="11">
        <v>80</v>
      </c>
    </row>
    <row r="7" spans="1:3" ht="15.5">
      <c r="A7" s="9" t="s">
        <v>245</v>
      </c>
      <c r="B7" s="10" t="s">
        <v>246</v>
      </c>
      <c r="C7" s="11">
        <v>69.099999999999994</v>
      </c>
    </row>
    <row r="8" spans="1:3" ht="15.5">
      <c r="A8" s="9" t="s">
        <v>247</v>
      </c>
      <c r="B8" s="10" t="s">
        <v>247</v>
      </c>
      <c r="C8" s="11">
        <v>79.3</v>
      </c>
    </row>
    <row r="9" spans="1:3" ht="15.5">
      <c r="A9" s="9" t="s">
        <v>248</v>
      </c>
      <c r="B9" s="10" t="s">
        <v>248</v>
      </c>
      <c r="C9" s="11">
        <v>49.85</v>
      </c>
    </row>
    <row r="10" spans="1:3" ht="15.5">
      <c r="A10" s="9" t="s">
        <v>249</v>
      </c>
      <c r="B10" s="10" t="s">
        <v>250</v>
      </c>
      <c r="C10" s="11">
        <v>71.8</v>
      </c>
    </row>
    <row r="11" spans="1:3" ht="15.5">
      <c r="A11" s="9" t="s">
        <v>251</v>
      </c>
      <c r="B11" s="10" t="s">
        <v>252</v>
      </c>
      <c r="C11" s="11">
        <v>65.900000000000006</v>
      </c>
    </row>
    <row r="12" spans="1:3" ht="15.5">
      <c r="A12" s="9" t="s">
        <v>253</v>
      </c>
      <c r="B12" s="10" t="s">
        <v>254</v>
      </c>
      <c r="C12" s="11">
        <v>69.099999999999994</v>
      </c>
    </row>
    <row r="13" spans="1:3" ht="15.5">
      <c r="A13" s="9" t="s">
        <v>5</v>
      </c>
      <c r="B13" s="10" t="s">
        <v>255</v>
      </c>
      <c r="C13" s="11">
        <v>69.099999999999994</v>
      </c>
    </row>
    <row r="14" spans="1:3" ht="15.5">
      <c r="A14" s="9" t="s">
        <v>256</v>
      </c>
      <c r="B14" s="10" t="s">
        <v>257</v>
      </c>
      <c r="C14" s="11">
        <v>85.8</v>
      </c>
    </row>
    <row r="15" spans="1:3" ht="15.5">
      <c r="A15" s="9" t="s">
        <v>258</v>
      </c>
      <c r="B15" s="10" t="s">
        <v>259</v>
      </c>
      <c r="C15" s="11">
        <v>53.2</v>
      </c>
    </row>
    <row r="16" spans="1:3" ht="15.5">
      <c r="A16" s="9" t="s">
        <v>260</v>
      </c>
      <c r="B16" s="10" t="s">
        <v>261</v>
      </c>
      <c r="C16" s="11">
        <v>40</v>
      </c>
    </row>
    <row r="17" spans="1:3" ht="15.5">
      <c r="A17" s="9" t="s">
        <v>262</v>
      </c>
      <c r="B17" s="10" t="s">
        <v>263</v>
      </c>
      <c r="C17" s="11">
        <v>69.099999999999994</v>
      </c>
    </row>
    <row r="18" spans="1:3" ht="15.5">
      <c r="A18" s="12"/>
      <c r="B18" s="13"/>
      <c r="C18" s="14"/>
    </row>
    <row r="19" spans="1:3">
      <c r="A19" s="3"/>
      <c r="B19" s="3"/>
      <c r="C19" s="3"/>
    </row>
    <row r="20" spans="1:3">
      <c r="A20" s="3"/>
      <c r="B20" s="3"/>
      <c r="C20" s="3"/>
    </row>
    <row r="21" spans="1:3" ht="15.5">
      <c r="A21" s="3"/>
      <c r="B21" s="328" t="s">
        <v>29</v>
      </c>
      <c r="C21" s="329"/>
    </row>
    <row r="22" spans="1:3" ht="15.5">
      <c r="A22" s="15" t="s">
        <v>264</v>
      </c>
      <c r="B22" s="16" t="s">
        <v>55</v>
      </c>
      <c r="C22" s="17">
        <v>0</v>
      </c>
    </row>
    <row r="23" spans="1:3" ht="15.5">
      <c r="A23" s="18" t="s">
        <v>265</v>
      </c>
      <c r="B23" s="19" t="s">
        <v>64</v>
      </c>
      <c r="C23" s="20">
        <v>0.05</v>
      </c>
    </row>
    <row r="24" spans="1:3" ht="15.5">
      <c r="A24" s="18" t="s">
        <v>266</v>
      </c>
      <c r="B24" s="19" t="s">
        <v>61</v>
      </c>
      <c r="C24" s="20">
        <v>0.1</v>
      </c>
    </row>
    <row r="25" spans="1:3" ht="15.5">
      <c r="A25" s="18" t="s">
        <v>267</v>
      </c>
      <c r="B25" s="19" t="s">
        <v>268</v>
      </c>
      <c r="C25" s="20">
        <v>0.1</v>
      </c>
    </row>
    <row r="26" spans="1:3" ht="15.5">
      <c r="A26" s="18" t="s">
        <v>269</v>
      </c>
      <c r="B26" s="19" t="s">
        <v>57</v>
      </c>
      <c r="C26" s="20">
        <v>0.1</v>
      </c>
    </row>
    <row r="27" spans="1:3" ht="15.5">
      <c r="A27" s="18" t="s">
        <v>270</v>
      </c>
      <c r="B27" s="19" t="s">
        <v>43</v>
      </c>
      <c r="C27" s="20">
        <v>0</v>
      </c>
    </row>
    <row r="28" spans="1:3" ht="15.5">
      <c r="A28" s="18" t="s">
        <v>271</v>
      </c>
      <c r="B28" s="19" t="s">
        <v>272</v>
      </c>
      <c r="C28" s="20">
        <v>0</v>
      </c>
    </row>
    <row r="29" spans="1:3" ht="15.5">
      <c r="A29" s="18" t="s">
        <v>273</v>
      </c>
      <c r="B29" s="19" t="s">
        <v>274</v>
      </c>
      <c r="C29" s="20">
        <v>0</v>
      </c>
    </row>
    <row r="30" spans="1:3" ht="15.5">
      <c r="A30" s="18" t="s">
        <v>275</v>
      </c>
      <c r="B30" s="19" t="s">
        <v>276</v>
      </c>
      <c r="C30" s="20">
        <v>0</v>
      </c>
    </row>
    <row r="31" spans="1:3" ht="15.5">
      <c r="A31" s="18" t="s">
        <v>277</v>
      </c>
      <c r="B31" s="19" t="s">
        <v>278</v>
      </c>
      <c r="C31" s="20">
        <v>0</v>
      </c>
    </row>
    <row r="32" spans="1:3" ht="15.5">
      <c r="A32" s="18" t="s">
        <v>279</v>
      </c>
      <c r="B32" s="19" t="s">
        <v>280</v>
      </c>
      <c r="C32" s="20">
        <v>0.1</v>
      </c>
    </row>
    <row r="33" spans="1:8" ht="15.5">
      <c r="A33" s="18" t="s">
        <v>281</v>
      </c>
      <c r="B33" s="19" t="s">
        <v>59</v>
      </c>
      <c r="C33" s="20">
        <v>0.1</v>
      </c>
    </row>
    <row r="34" spans="1:8" ht="15.5">
      <c r="A34" s="18" t="s">
        <v>282</v>
      </c>
      <c r="B34" s="19" t="s">
        <v>283</v>
      </c>
      <c r="C34" s="20">
        <v>0</v>
      </c>
    </row>
    <row r="35" spans="1:8" ht="15.5">
      <c r="A35" s="18" t="s">
        <v>284</v>
      </c>
      <c r="B35" s="19" t="s">
        <v>285</v>
      </c>
      <c r="C35" s="20">
        <v>0</v>
      </c>
    </row>
    <row r="36" spans="1:8" ht="15.5">
      <c r="A36" s="18" t="s">
        <v>286</v>
      </c>
      <c r="B36" s="19" t="s">
        <v>286</v>
      </c>
      <c r="C36" s="20">
        <v>0.1</v>
      </c>
    </row>
    <row r="37" spans="1:8" ht="15.5">
      <c r="A37" s="18" t="s">
        <v>287</v>
      </c>
      <c r="B37" s="19" t="s">
        <v>288</v>
      </c>
      <c r="C37" s="20">
        <v>0</v>
      </c>
    </row>
    <row r="38" spans="1:8" ht="15.5">
      <c r="A38" s="18" t="s">
        <v>289</v>
      </c>
      <c r="B38" s="19" t="s">
        <v>290</v>
      </c>
      <c r="C38" s="20">
        <v>0</v>
      </c>
    </row>
    <row r="39" spans="1:8" ht="15.5">
      <c r="A39" s="18" t="s">
        <v>291</v>
      </c>
      <c r="B39" s="19" t="s">
        <v>292</v>
      </c>
      <c r="C39" s="20">
        <v>0</v>
      </c>
    </row>
    <row r="40" spans="1:8" ht="15.5">
      <c r="A40" s="18" t="s">
        <v>282</v>
      </c>
      <c r="B40" s="19" t="s">
        <v>293</v>
      </c>
      <c r="C40" s="20">
        <v>0</v>
      </c>
    </row>
    <row r="41" spans="1:8" ht="15.5">
      <c r="A41" s="18" t="s">
        <v>294</v>
      </c>
      <c r="B41" s="19" t="s">
        <v>295</v>
      </c>
      <c r="C41" s="20">
        <v>0</v>
      </c>
    </row>
    <row r="42" spans="1:8" ht="15.5">
      <c r="A42" s="18" t="s">
        <v>296</v>
      </c>
      <c r="B42" s="19" t="s">
        <v>297</v>
      </c>
      <c r="C42" s="20">
        <v>0</v>
      </c>
    </row>
    <row r="43" spans="1:8" ht="15.5">
      <c r="A43" s="18" t="s">
        <v>298</v>
      </c>
      <c r="B43" s="19" t="s">
        <v>299</v>
      </c>
      <c r="C43" s="20">
        <v>0.1</v>
      </c>
    </row>
    <row r="44" spans="1:8" ht="15.5">
      <c r="A44" s="21" t="s">
        <v>300</v>
      </c>
      <c r="B44" s="22" t="s">
        <v>300</v>
      </c>
      <c r="C44" s="23">
        <v>0</v>
      </c>
    </row>
    <row r="47" spans="1:8">
      <c r="A47" s="24" t="s">
        <v>301</v>
      </c>
      <c r="B47" s="25"/>
      <c r="C47" s="25"/>
      <c r="D47" s="25"/>
      <c r="E47" s="25"/>
      <c r="F47" s="25"/>
      <c r="G47" s="25"/>
      <c r="H47" s="25"/>
    </row>
    <row r="48" spans="1:8">
      <c r="A48" s="25" t="s">
        <v>302</v>
      </c>
      <c r="B48" s="25"/>
      <c r="C48" s="25"/>
      <c r="D48" s="25"/>
      <c r="E48" s="25"/>
      <c r="F48" s="25"/>
      <c r="G48" s="25"/>
      <c r="H48" s="25"/>
    </row>
    <row r="49" spans="1:8">
      <c r="A49" s="25" t="s">
        <v>303</v>
      </c>
      <c r="B49" s="25"/>
      <c r="C49" s="25"/>
      <c r="D49" s="25"/>
      <c r="E49" s="25"/>
      <c r="F49" s="25"/>
      <c r="G49" s="25"/>
      <c r="H49" s="25"/>
    </row>
    <row r="50" spans="1:8">
      <c r="A50" s="25" t="s">
        <v>304</v>
      </c>
      <c r="B50" s="25"/>
      <c r="C50" s="25"/>
      <c r="D50" s="25"/>
      <c r="E50" s="25"/>
      <c r="F50" s="25"/>
      <c r="G50" s="25"/>
      <c r="H50" s="25"/>
    </row>
  </sheetData>
  <mergeCells count="1">
    <mergeCell ref="B21:C21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F47021E2-8793-411E-B075-318530D433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General Summary</vt:lpstr>
      <vt:lpstr>TAKEOFF</vt:lpstr>
      <vt:lpstr>LABOR SHEET</vt:lpstr>
      <vt:lpstr>'General Summary'!Print_Area</vt:lpstr>
      <vt:lpstr>TAKEOFF!Print_Area</vt:lpstr>
      <vt:lpstr>TAKEOFF!Print_Titles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CH Shahzaib</cp:lastModifiedBy>
  <cp:lastPrinted>2023-01-11T20:23:00Z</cp:lastPrinted>
  <dcterms:created xsi:type="dcterms:W3CDTF">2016-03-30T11:57:00Z</dcterms:created>
  <dcterms:modified xsi:type="dcterms:W3CDTF">2026-01-27T21:30:22Z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{F47021E2-8793-411E-B075-318530D4334E}</vt:lpwstr>
  </property>
  <property fmtid="{D5CDD505-2E9C-101B-9397-08002B2CF9AE}" pid="6" name="ICV">
    <vt:lpwstr>B82BC5C8FF844316871C11BC35A53010_13</vt:lpwstr>
  </property>
  <property fmtid="{D5CDD505-2E9C-101B-9397-08002B2CF9AE}" pid="7" name="KSOProductBuildVer">
    <vt:lpwstr>1033-12.2.0.21931</vt:lpwstr>
  </property>
</Properties>
</file>