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City\Desktop\My Website Samples\Residential\"/>
    </mc:Choice>
  </mc:AlternateContent>
  <xr:revisionPtr revIDLastSave="0" documentId="13_ncr:1_{EF886A03-84C7-43CC-BC91-70674E6528D0}" xr6:coauthVersionLast="47" xr6:coauthVersionMax="47" xr10:uidLastSave="{00000000-0000-0000-0000-000000000000}"/>
  <bookViews>
    <workbookView xWindow="-110" yWindow="-110" windowWidth="19420" windowHeight="10420" activeTab="1" xr2:uid="{00000000-000D-0000-FFFF-FFFF00000000}"/>
  </bookViews>
  <sheets>
    <sheet name="General Summary" sheetId="4" r:id="rId1"/>
    <sheet name="Estimate" sheetId="1" r:id="rId2"/>
    <sheet name="LABOR SHEET" sheetId="6" r:id="rId3"/>
  </sheets>
  <definedNames>
    <definedName name="_xlnm._FilterDatabase" localSheetId="1" hidden="1">Estimate!$A$333:$AJ$714</definedName>
    <definedName name="_xlnm.Print_Area" localSheetId="1">Estimate!$A$2:$Q$722</definedName>
    <definedName name="_xlnm.Print_Area" localSheetId="0">'General Summary'!$A$1:$N$25</definedName>
    <definedName name="_xlnm.Print_Titles" localSheetId="1">Estimate!$1:$6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722" i="1" l="1"/>
  <c r="Q721" i="1"/>
  <c r="Q720" i="1"/>
  <c r="Q719" i="1"/>
  <c r="Q718" i="1"/>
  <c r="Q717" i="1"/>
  <c r="O716" i="1"/>
  <c r="M716" i="1"/>
  <c r="J716" i="1"/>
  <c r="Q714" i="1"/>
  <c r="A714" i="1"/>
  <c r="A713" i="1"/>
  <c r="Q712" i="1"/>
  <c r="P712" i="1"/>
  <c r="O712" i="1"/>
  <c r="M712" i="1"/>
  <c r="L712" i="1"/>
  <c r="K712" i="1"/>
  <c r="J712" i="1"/>
  <c r="G712" i="1"/>
  <c r="A712" i="1"/>
  <c r="Q711" i="1"/>
  <c r="P711" i="1"/>
  <c r="O711" i="1"/>
  <c r="M711" i="1"/>
  <c r="L711" i="1"/>
  <c r="K711" i="1"/>
  <c r="J711" i="1"/>
  <c r="G711" i="1"/>
  <c r="A711" i="1"/>
  <c r="A710" i="1"/>
  <c r="A709" i="1"/>
  <c r="Q708" i="1"/>
  <c r="P708" i="1"/>
  <c r="O708" i="1"/>
  <c r="M708" i="1"/>
  <c r="L708" i="1"/>
  <c r="K708" i="1"/>
  <c r="J708" i="1"/>
  <c r="G708" i="1"/>
  <c r="A708" i="1"/>
  <c r="Q707" i="1"/>
  <c r="P707" i="1"/>
  <c r="O707" i="1"/>
  <c r="M707" i="1"/>
  <c r="L707" i="1"/>
  <c r="K707" i="1"/>
  <c r="J707" i="1"/>
  <c r="G707" i="1"/>
  <c r="A707" i="1"/>
  <c r="Q706" i="1"/>
  <c r="P706" i="1"/>
  <c r="O706" i="1"/>
  <c r="M706" i="1"/>
  <c r="L706" i="1"/>
  <c r="K706" i="1"/>
  <c r="J706" i="1"/>
  <c r="G706" i="1"/>
  <c r="A706" i="1"/>
  <c r="Q705" i="1"/>
  <c r="P705" i="1"/>
  <c r="O705" i="1"/>
  <c r="M705" i="1"/>
  <c r="L705" i="1"/>
  <c r="K705" i="1"/>
  <c r="J705" i="1"/>
  <c r="G705" i="1"/>
  <c r="A705" i="1"/>
  <c r="Q704" i="1"/>
  <c r="P704" i="1"/>
  <c r="O704" i="1"/>
  <c r="M704" i="1"/>
  <c r="L704" i="1"/>
  <c r="K704" i="1"/>
  <c r="J704" i="1"/>
  <c r="G704" i="1"/>
  <c r="A704" i="1"/>
  <c r="Q703" i="1"/>
  <c r="P703" i="1"/>
  <c r="O703" i="1"/>
  <c r="M703" i="1"/>
  <c r="L703" i="1"/>
  <c r="K703" i="1"/>
  <c r="J703" i="1"/>
  <c r="G703" i="1"/>
  <c r="A703" i="1"/>
  <c r="A702" i="1"/>
  <c r="A701" i="1"/>
  <c r="Q700" i="1"/>
  <c r="P700" i="1"/>
  <c r="O700" i="1"/>
  <c r="M700" i="1"/>
  <c r="L700" i="1"/>
  <c r="K700" i="1"/>
  <c r="J700" i="1"/>
  <c r="G700" i="1"/>
  <c r="A700" i="1"/>
  <c r="A699" i="1"/>
  <c r="A698" i="1"/>
  <c r="Q697" i="1"/>
  <c r="P697" i="1"/>
  <c r="O697" i="1"/>
  <c r="M697" i="1"/>
  <c r="L697" i="1"/>
  <c r="K697" i="1"/>
  <c r="J697" i="1"/>
  <c r="G697" i="1"/>
  <c r="A697" i="1"/>
  <c r="Q696" i="1"/>
  <c r="P696" i="1"/>
  <c r="O696" i="1"/>
  <c r="M696" i="1"/>
  <c r="L696" i="1"/>
  <c r="K696" i="1"/>
  <c r="J696" i="1"/>
  <c r="G696" i="1"/>
  <c r="A696" i="1"/>
  <c r="A695" i="1"/>
  <c r="A694" i="1"/>
  <c r="Q693" i="1"/>
  <c r="P693" i="1"/>
  <c r="O693" i="1"/>
  <c r="M693" i="1"/>
  <c r="L693" i="1"/>
  <c r="K693" i="1"/>
  <c r="J693" i="1"/>
  <c r="G693" i="1"/>
  <c r="A693" i="1"/>
  <c r="Q692" i="1"/>
  <c r="P692" i="1"/>
  <c r="O692" i="1"/>
  <c r="M692" i="1"/>
  <c r="L692" i="1"/>
  <c r="K692" i="1"/>
  <c r="J692" i="1"/>
  <c r="G692" i="1"/>
  <c r="A692" i="1"/>
  <c r="Q691" i="1"/>
  <c r="P691" i="1"/>
  <c r="O691" i="1"/>
  <c r="M691" i="1"/>
  <c r="L691" i="1"/>
  <c r="K691" i="1"/>
  <c r="J691" i="1"/>
  <c r="G691" i="1"/>
  <c r="A691" i="1"/>
  <c r="Q690" i="1"/>
  <c r="P690" i="1"/>
  <c r="O690" i="1"/>
  <c r="M690" i="1"/>
  <c r="L690" i="1"/>
  <c r="K690" i="1"/>
  <c r="J690" i="1"/>
  <c r="G690" i="1"/>
  <c r="A690" i="1"/>
  <c r="Q689" i="1"/>
  <c r="P689" i="1"/>
  <c r="O689" i="1"/>
  <c r="M689" i="1"/>
  <c r="L689" i="1"/>
  <c r="K689" i="1"/>
  <c r="J689" i="1"/>
  <c r="G689" i="1"/>
  <c r="A689" i="1"/>
  <c r="A688" i="1"/>
  <c r="A687" i="1"/>
  <c r="Q686" i="1"/>
  <c r="P686" i="1"/>
  <c r="O686" i="1"/>
  <c r="M686" i="1"/>
  <c r="L686" i="1"/>
  <c r="K686" i="1"/>
  <c r="J686" i="1"/>
  <c r="G686" i="1"/>
  <c r="A686" i="1"/>
  <c r="Q685" i="1"/>
  <c r="P685" i="1"/>
  <c r="O685" i="1"/>
  <c r="M685" i="1"/>
  <c r="L685" i="1"/>
  <c r="K685" i="1"/>
  <c r="J685" i="1"/>
  <c r="G685" i="1"/>
  <c r="A685" i="1"/>
  <c r="Q684" i="1"/>
  <c r="P684" i="1"/>
  <c r="O684" i="1"/>
  <c r="M684" i="1"/>
  <c r="L684" i="1"/>
  <c r="K684" i="1"/>
  <c r="J684" i="1"/>
  <c r="G684" i="1"/>
  <c r="A684" i="1"/>
  <c r="Q683" i="1"/>
  <c r="P683" i="1"/>
  <c r="O683" i="1"/>
  <c r="M683" i="1"/>
  <c r="L683" i="1"/>
  <c r="K683" i="1"/>
  <c r="J683" i="1"/>
  <c r="G683" i="1"/>
  <c r="A683" i="1"/>
  <c r="Q682" i="1"/>
  <c r="P682" i="1"/>
  <c r="O682" i="1"/>
  <c r="M682" i="1"/>
  <c r="L682" i="1"/>
  <c r="K682" i="1"/>
  <c r="J682" i="1"/>
  <c r="G682" i="1"/>
  <c r="A682" i="1"/>
  <c r="Q681" i="1"/>
  <c r="P681" i="1"/>
  <c r="O681" i="1"/>
  <c r="M681" i="1"/>
  <c r="L681" i="1"/>
  <c r="K681" i="1"/>
  <c r="J681" i="1"/>
  <c r="G681" i="1"/>
  <c r="A681" i="1"/>
  <c r="Q680" i="1"/>
  <c r="P680" i="1"/>
  <c r="O680" i="1"/>
  <c r="M680" i="1"/>
  <c r="L680" i="1"/>
  <c r="K680" i="1"/>
  <c r="J680" i="1"/>
  <c r="G680" i="1"/>
  <c r="A680" i="1"/>
  <c r="Q679" i="1"/>
  <c r="P679" i="1"/>
  <c r="O679" i="1"/>
  <c r="M679" i="1"/>
  <c r="L679" i="1"/>
  <c r="K679" i="1"/>
  <c r="J679" i="1"/>
  <c r="G679" i="1"/>
  <c r="A679" i="1"/>
  <c r="Q678" i="1"/>
  <c r="P678" i="1"/>
  <c r="O678" i="1"/>
  <c r="M678" i="1"/>
  <c r="L678" i="1"/>
  <c r="K678" i="1"/>
  <c r="J678" i="1"/>
  <c r="G678" i="1"/>
  <c r="A678" i="1"/>
  <c r="Q677" i="1"/>
  <c r="P677" i="1"/>
  <c r="O677" i="1"/>
  <c r="M677" i="1"/>
  <c r="L677" i="1"/>
  <c r="K677" i="1"/>
  <c r="J677" i="1"/>
  <c r="G677" i="1"/>
  <c r="A677" i="1"/>
  <c r="Q676" i="1"/>
  <c r="P676" i="1"/>
  <c r="O676" i="1"/>
  <c r="M676" i="1"/>
  <c r="L676" i="1"/>
  <c r="K676" i="1"/>
  <c r="J676" i="1"/>
  <c r="G676" i="1"/>
  <c r="A676" i="1"/>
  <c r="A675" i="1"/>
  <c r="A674" i="1"/>
  <c r="A673" i="1"/>
  <c r="Q672" i="1"/>
  <c r="A672" i="1"/>
  <c r="A671" i="1"/>
  <c r="Q670" i="1"/>
  <c r="P670" i="1"/>
  <c r="O670" i="1"/>
  <c r="M670" i="1"/>
  <c r="L670" i="1"/>
  <c r="K670" i="1"/>
  <c r="J670" i="1"/>
  <c r="G670" i="1"/>
  <c r="A670" i="1"/>
  <c r="A669" i="1"/>
  <c r="A668" i="1"/>
  <c r="Q667" i="1"/>
  <c r="P667" i="1"/>
  <c r="O667" i="1"/>
  <c r="M667" i="1"/>
  <c r="L667" i="1"/>
  <c r="K667" i="1"/>
  <c r="J667" i="1"/>
  <c r="G667" i="1"/>
  <c r="A667" i="1"/>
  <c r="A666" i="1"/>
  <c r="A665" i="1"/>
  <c r="A664" i="1"/>
  <c r="Q663" i="1"/>
  <c r="A663" i="1"/>
  <c r="A662" i="1"/>
  <c r="Q661" i="1"/>
  <c r="P661" i="1"/>
  <c r="O661" i="1"/>
  <c r="M661" i="1"/>
  <c r="L661" i="1"/>
  <c r="K661" i="1"/>
  <c r="J661" i="1"/>
  <c r="G661" i="1"/>
  <c r="A661" i="1"/>
  <c r="A660" i="1"/>
  <c r="A659" i="1"/>
  <c r="Q658" i="1"/>
  <c r="P658" i="1"/>
  <c r="O658" i="1"/>
  <c r="M658" i="1"/>
  <c r="L658" i="1"/>
  <c r="K658" i="1"/>
  <c r="J658" i="1"/>
  <c r="G658" i="1"/>
  <c r="A658" i="1"/>
  <c r="Q657" i="1"/>
  <c r="P657" i="1"/>
  <c r="O657" i="1"/>
  <c r="M657" i="1"/>
  <c r="L657" i="1"/>
  <c r="K657" i="1"/>
  <c r="J657" i="1"/>
  <c r="G657" i="1"/>
  <c r="A657" i="1"/>
  <c r="Q656" i="1"/>
  <c r="P656" i="1"/>
  <c r="O656" i="1"/>
  <c r="M656" i="1"/>
  <c r="L656" i="1"/>
  <c r="K656" i="1"/>
  <c r="J656" i="1"/>
  <c r="G656" i="1"/>
  <c r="A656" i="1"/>
  <c r="Q655" i="1"/>
  <c r="P655" i="1"/>
  <c r="O655" i="1"/>
  <c r="M655" i="1"/>
  <c r="L655" i="1"/>
  <c r="K655" i="1"/>
  <c r="J655" i="1"/>
  <c r="G655" i="1"/>
  <c r="A655" i="1"/>
  <c r="Q654" i="1"/>
  <c r="P654" i="1"/>
  <c r="O654" i="1"/>
  <c r="M654" i="1"/>
  <c r="L654" i="1"/>
  <c r="K654" i="1"/>
  <c r="J654" i="1"/>
  <c r="G654" i="1"/>
  <c r="A654" i="1"/>
  <c r="Q653" i="1"/>
  <c r="P653" i="1"/>
  <c r="O653" i="1"/>
  <c r="M653" i="1"/>
  <c r="L653" i="1"/>
  <c r="K653" i="1"/>
  <c r="J653" i="1"/>
  <c r="G653" i="1"/>
  <c r="A653" i="1"/>
  <c r="Q652" i="1"/>
  <c r="P652" i="1"/>
  <c r="O652" i="1"/>
  <c r="M652" i="1"/>
  <c r="L652" i="1"/>
  <c r="K652" i="1"/>
  <c r="J652" i="1"/>
  <c r="G652" i="1"/>
  <c r="A652" i="1"/>
  <c r="Q651" i="1"/>
  <c r="P651" i="1"/>
  <c r="O651" i="1"/>
  <c r="M651" i="1"/>
  <c r="L651" i="1"/>
  <c r="K651" i="1"/>
  <c r="J651" i="1"/>
  <c r="G651" i="1"/>
  <c r="A651" i="1"/>
  <c r="A650" i="1"/>
  <c r="A649" i="1"/>
  <c r="A648" i="1"/>
  <c r="Q647" i="1"/>
  <c r="A647" i="1"/>
  <c r="A646" i="1"/>
  <c r="Q645" i="1"/>
  <c r="P645" i="1"/>
  <c r="O645" i="1"/>
  <c r="M645" i="1"/>
  <c r="L645" i="1"/>
  <c r="K645" i="1"/>
  <c r="J645" i="1"/>
  <c r="G645" i="1"/>
  <c r="A645" i="1"/>
  <c r="Q644" i="1"/>
  <c r="P644" i="1"/>
  <c r="O644" i="1"/>
  <c r="M644" i="1"/>
  <c r="L644" i="1"/>
  <c r="K644" i="1"/>
  <c r="J644" i="1"/>
  <c r="G644" i="1"/>
  <c r="A644" i="1"/>
  <c r="Q643" i="1"/>
  <c r="P643" i="1"/>
  <c r="O643" i="1"/>
  <c r="M643" i="1"/>
  <c r="L643" i="1"/>
  <c r="K643" i="1"/>
  <c r="J643" i="1"/>
  <c r="G643" i="1"/>
  <c r="A643" i="1"/>
  <c r="Q642" i="1"/>
  <c r="P642" i="1"/>
  <c r="O642" i="1"/>
  <c r="M642" i="1"/>
  <c r="L642" i="1"/>
  <c r="K642" i="1"/>
  <c r="J642" i="1"/>
  <c r="G642" i="1"/>
  <c r="A642" i="1"/>
  <c r="Q641" i="1"/>
  <c r="P641" i="1"/>
  <c r="O641" i="1"/>
  <c r="M641" i="1"/>
  <c r="L641" i="1"/>
  <c r="K641" i="1"/>
  <c r="J641" i="1"/>
  <c r="G641" i="1"/>
  <c r="A641" i="1"/>
  <c r="Q640" i="1"/>
  <c r="P640" i="1"/>
  <c r="O640" i="1"/>
  <c r="M640" i="1"/>
  <c r="L640" i="1"/>
  <c r="K640" i="1"/>
  <c r="J640" i="1"/>
  <c r="G640" i="1"/>
  <c r="A640" i="1"/>
  <c r="Q639" i="1"/>
  <c r="P639" i="1"/>
  <c r="O639" i="1"/>
  <c r="M639" i="1"/>
  <c r="L639" i="1"/>
  <c r="K639" i="1"/>
  <c r="J639" i="1"/>
  <c r="G639" i="1"/>
  <c r="A639" i="1"/>
  <c r="A638" i="1"/>
  <c r="A637" i="1"/>
  <c r="Q636" i="1"/>
  <c r="P636" i="1"/>
  <c r="O636" i="1"/>
  <c r="M636" i="1"/>
  <c r="L636" i="1"/>
  <c r="K636" i="1"/>
  <c r="J636" i="1"/>
  <c r="G636" i="1"/>
  <c r="A636" i="1"/>
  <c r="Q635" i="1"/>
  <c r="P635" i="1"/>
  <c r="O635" i="1"/>
  <c r="M635" i="1"/>
  <c r="L635" i="1"/>
  <c r="K635" i="1"/>
  <c r="J635" i="1"/>
  <c r="G635" i="1"/>
  <c r="A635" i="1"/>
  <c r="Q634" i="1"/>
  <c r="P634" i="1"/>
  <c r="O634" i="1"/>
  <c r="M634" i="1"/>
  <c r="L634" i="1"/>
  <c r="K634" i="1"/>
  <c r="J634" i="1"/>
  <c r="G634" i="1"/>
  <c r="A634" i="1"/>
  <c r="A633" i="1"/>
  <c r="A632" i="1"/>
  <c r="A631" i="1"/>
  <c r="Q630" i="1"/>
  <c r="A630" i="1"/>
  <c r="A629" i="1"/>
  <c r="Q628" i="1"/>
  <c r="P628" i="1"/>
  <c r="O628" i="1"/>
  <c r="M628" i="1"/>
  <c r="L628" i="1"/>
  <c r="J628" i="1"/>
  <c r="G628" i="1"/>
  <c r="A628" i="1"/>
  <c r="Q627" i="1"/>
  <c r="P627" i="1"/>
  <c r="O627" i="1"/>
  <c r="M627" i="1"/>
  <c r="L627" i="1"/>
  <c r="K627" i="1"/>
  <c r="J627" i="1"/>
  <c r="G627" i="1"/>
  <c r="A627" i="1"/>
  <c r="Q626" i="1"/>
  <c r="P626" i="1"/>
  <c r="O626" i="1"/>
  <c r="M626" i="1"/>
  <c r="L626" i="1"/>
  <c r="K626" i="1"/>
  <c r="J626" i="1"/>
  <c r="G626" i="1"/>
  <c r="A626" i="1"/>
  <c r="Q625" i="1"/>
  <c r="P625" i="1"/>
  <c r="O625" i="1"/>
  <c r="M625" i="1"/>
  <c r="L625" i="1"/>
  <c r="K625" i="1"/>
  <c r="J625" i="1"/>
  <c r="G625" i="1"/>
  <c r="A625" i="1"/>
  <c r="Q624" i="1"/>
  <c r="P624" i="1"/>
  <c r="O624" i="1"/>
  <c r="M624" i="1"/>
  <c r="L624" i="1"/>
  <c r="K624" i="1"/>
  <c r="J624" i="1"/>
  <c r="G624" i="1"/>
  <c r="A624" i="1"/>
  <c r="Q623" i="1"/>
  <c r="P623" i="1"/>
  <c r="O623" i="1"/>
  <c r="M623" i="1"/>
  <c r="L623" i="1"/>
  <c r="K623" i="1"/>
  <c r="J623" i="1"/>
  <c r="G623" i="1"/>
  <c r="A623" i="1"/>
  <c r="Q622" i="1"/>
  <c r="P622" i="1"/>
  <c r="O622" i="1"/>
  <c r="M622" i="1"/>
  <c r="L622" i="1"/>
  <c r="K622" i="1"/>
  <c r="J622" i="1"/>
  <c r="G622" i="1"/>
  <c r="A622" i="1"/>
  <c r="Q621" i="1"/>
  <c r="P621" i="1"/>
  <c r="O621" i="1"/>
  <c r="M621" i="1"/>
  <c r="L621" i="1"/>
  <c r="K621" i="1"/>
  <c r="J621" i="1"/>
  <c r="G621" i="1"/>
  <c r="A621" i="1"/>
  <c r="Q620" i="1"/>
  <c r="P620" i="1"/>
  <c r="O620" i="1"/>
  <c r="M620" i="1"/>
  <c r="L620" i="1"/>
  <c r="K620" i="1"/>
  <c r="J620" i="1"/>
  <c r="G620" i="1"/>
  <c r="A620" i="1"/>
  <c r="Q619" i="1"/>
  <c r="P619" i="1"/>
  <c r="O619" i="1"/>
  <c r="M619" i="1"/>
  <c r="L619" i="1"/>
  <c r="K619" i="1"/>
  <c r="J619" i="1"/>
  <c r="G619" i="1"/>
  <c r="A619" i="1"/>
  <c r="Q618" i="1"/>
  <c r="P618" i="1"/>
  <c r="O618" i="1"/>
  <c r="M618" i="1"/>
  <c r="L618" i="1"/>
  <c r="K618" i="1"/>
  <c r="J618" i="1"/>
  <c r="G618" i="1"/>
  <c r="A618" i="1"/>
  <c r="Q617" i="1"/>
  <c r="P617" i="1"/>
  <c r="O617" i="1"/>
  <c r="M617" i="1"/>
  <c r="L617" i="1"/>
  <c r="K617" i="1"/>
  <c r="J617" i="1"/>
  <c r="G617" i="1"/>
  <c r="A617" i="1"/>
  <c r="Q616" i="1"/>
  <c r="P616" i="1"/>
  <c r="O616" i="1"/>
  <c r="M616" i="1"/>
  <c r="L616" i="1"/>
  <c r="K616" i="1"/>
  <c r="J616" i="1"/>
  <c r="G616" i="1"/>
  <c r="A616" i="1"/>
  <c r="Q615" i="1"/>
  <c r="P615" i="1"/>
  <c r="O615" i="1"/>
  <c r="M615" i="1"/>
  <c r="L615" i="1"/>
  <c r="K615" i="1"/>
  <c r="J615" i="1"/>
  <c r="G615" i="1"/>
  <c r="A615" i="1"/>
  <c r="Q614" i="1"/>
  <c r="P614" i="1"/>
  <c r="O614" i="1"/>
  <c r="M614" i="1"/>
  <c r="L614" i="1"/>
  <c r="K614" i="1"/>
  <c r="J614" i="1"/>
  <c r="G614" i="1"/>
  <c r="A614" i="1"/>
  <c r="Q613" i="1"/>
  <c r="P613" i="1"/>
  <c r="O613" i="1"/>
  <c r="M613" i="1"/>
  <c r="L613" i="1"/>
  <c r="K613" i="1"/>
  <c r="J613" i="1"/>
  <c r="G613" i="1"/>
  <c r="A613" i="1"/>
  <c r="A612" i="1"/>
  <c r="A611" i="1"/>
  <c r="A610" i="1"/>
  <c r="Q609" i="1"/>
  <c r="A609" i="1"/>
  <c r="A608" i="1"/>
  <c r="Q607" i="1"/>
  <c r="P607" i="1"/>
  <c r="O607" i="1"/>
  <c r="M607" i="1"/>
  <c r="L607" i="1"/>
  <c r="K607" i="1"/>
  <c r="J607" i="1"/>
  <c r="G607" i="1"/>
  <c r="A607" i="1"/>
  <c r="Q606" i="1"/>
  <c r="P606" i="1"/>
  <c r="O606" i="1"/>
  <c r="M606" i="1"/>
  <c r="L606" i="1"/>
  <c r="K606" i="1"/>
  <c r="J606" i="1"/>
  <c r="G606" i="1"/>
  <c r="A606" i="1"/>
  <c r="Q605" i="1"/>
  <c r="P605" i="1"/>
  <c r="O605" i="1"/>
  <c r="M605" i="1"/>
  <c r="L605" i="1"/>
  <c r="K605" i="1"/>
  <c r="J605" i="1"/>
  <c r="G605" i="1"/>
  <c r="A605" i="1"/>
  <c r="Q604" i="1"/>
  <c r="P604" i="1"/>
  <c r="O604" i="1"/>
  <c r="M604" i="1"/>
  <c r="L604" i="1"/>
  <c r="K604" i="1"/>
  <c r="J604" i="1"/>
  <c r="G604" i="1"/>
  <c r="A604" i="1"/>
  <c r="Q603" i="1"/>
  <c r="P603" i="1"/>
  <c r="O603" i="1"/>
  <c r="M603" i="1"/>
  <c r="L603" i="1"/>
  <c r="K603" i="1"/>
  <c r="J603" i="1"/>
  <c r="G603" i="1"/>
  <c r="A603" i="1"/>
  <c r="Q602" i="1"/>
  <c r="P602" i="1"/>
  <c r="O602" i="1"/>
  <c r="M602" i="1"/>
  <c r="L602" i="1"/>
  <c r="K602" i="1"/>
  <c r="J602" i="1"/>
  <c r="G602" i="1"/>
  <c r="A602" i="1"/>
  <c r="Q601" i="1"/>
  <c r="P601" i="1"/>
  <c r="O601" i="1"/>
  <c r="M601" i="1"/>
  <c r="L601" i="1"/>
  <c r="K601" i="1"/>
  <c r="J601" i="1"/>
  <c r="G601" i="1"/>
  <c r="A601" i="1"/>
  <c r="Q600" i="1"/>
  <c r="P600" i="1"/>
  <c r="O600" i="1"/>
  <c r="M600" i="1"/>
  <c r="L600" i="1"/>
  <c r="K600" i="1"/>
  <c r="J600" i="1"/>
  <c r="G600" i="1"/>
  <c r="A600" i="1"/>
  <c r="Q599" i="1"/>
  <c r="P599" i="1"/>
  <c r="O599" i="1"/>
  <c r="M599" i="1"/>
  <c r="L599" i="1"/>
  <c r="K599" i="1"/>
  <c r="J599" i="1"/>
  <c r="G599" i="1"/>
  <c r="A599" i="1"/>
  <c r="Q598" i="1"/>
  <c r="P598" i="1"/>
  <c r="O598" i="1"/>
  <c r="M598" i="1"/>
  <c r="L598" i="1"/>
  <c r="K598" i="1"/>
  <c r="J598" i="1"/>
  <c r="G598" i="1"/>
  <c r="A598" i="1"/>
  <c r="Q597" i="1"/>
  <c r="P597" i="1"/>
  <c r="O597" i="1"/>
  <c r="M597" i="1"/>
  <c r="L597" i="1"/>
  <c r="K597" i="1"/>
  <c r="J597" i="1"/>
  <c r="G597" i="1"/>
  <c r="A597" i="1"/>
  <c r="Q596" i="1"/>
  <c r="P596" i="1"/>
  <c r="O596" i="1"/>
  <c r="M596" i="1"/>
  <c r="L596" i="1"/>
  <c r="K596" i="1"/>
  <c r="J596" i="1"/>
  <c r="G596" i="1"/>
  <c r="A596" i="1"/>
  <c r="Q595" i="1"/>
  <c r="P595" i="1"/>
  <c r="O595" i="1"/>
  <c r="M595" i="1"/>
  <c r="L595" i="1"/>
  <c r="K595" i="1"/>
  <c r="J595" i="1"/>
  <c r="G595" i="1"/>
  <c r="A595" i="1"/>
  <c r="Q594" i="1"/>
  <c r="P594" i="1"/>
  <c r="O594" i="1"/>
  <c r="N594" i="1"/>
  <c r="M594" i="1"/>
  <c r="L594" i="1"/>
  <c r="K594" i="1"/>
  <c r="J594" i="1"/>
  <c r="I594" i="1"/>
  <c r="G594" i="1"/>
  <c r="A594" i="1"/>
  <c r="A593" i="1"/>
  <c r="A592" i="1"/>
  <c r="Q591" i="1"/>
  <c r="P591" i="1"/>
  <c r="O591" i="1"/>
  <c r="N591" i="1"/>
  <c r="M591" i="1"/>
  <c r="L591" i="1"/>
  <c r="J591" i="1"/>
  <c r="G591" i="1"/>
  <c r="A591" i="1"/>
  <c r="A590" i="1"/>
  <c r="A589" i="1"/>
  <c r="Q588" i="1"/>
  <c r="P588" i="1"/>
  <c r="O588" i="1"/>
  <c r="M588" i="1"/>
  <c r="L588" i="1"/>
  <c r="J588" i="1"/>
  <c r="G588" i="1"/>
  <c r="A588" i="1"/>
  <c r="Q587" i="1"/>
  <c r="P587" i="1"/>
  <c r="O587" i="1"/>
  <c r="M587" i="1"/>
  <c r="L587" i="1"/>
  <c r="J587" i="1"/>
  <c r="G587" i="1"/>
  <c r="A587" i="1"/>
  <c r="Q586" i="1"/>
  <c r="P586" i="1"/>
  <c r="O586" i="1"/>
  <c r="N586" i="1"/>
  <c r="M586" i="1"/>
  <c r="L586" i="1"/>
  <c r="J586" i="1"/>
  <c r="G586" i="1"/>
  <c r="A586" i="1"/>
  <c r="A585" i="1"/>
  <c r="A584" i="1"/>
  <c r="A583" i="1"/>
  <c r="Q582" i="1"/>
  <c r="A582" i="1"/>
  <c r="A581" i="1"/>
  <c r="Q580" i="1"/>
  <c r="P580" i="1"/>
  <c r="O580" i="1"/>
  <c r="M580" i="1"/>
  <c r="L580" i="1"/>
  <c r="K580" i="1"/>
  <c r="J580" i="1"/>
  <c r="G580" i="1"/>
  <c r="A580" i="1"/>
  <c r="Q579" i="1"/>
  <c r="P579" i="1"/>
  <c r="O579" i="1"/>
  <c r="M579" i="1"/>
  <c r="L579" i="1"/>
  <c r="K579" i="1"/>
  <c r="J579" i="1"/>
  <c r="G579" i="1"/>
  <c r="A579" i="1"/>
  <c r="Q578" i="1"/>
  <c r="P578" i="1"/>
  <c r="O578" i="1"/>
  <c r="M578" i="1"/>
  <c r="L578" i="1"/>
  <c r="K578" i="1"/>
  <c r="J578" i="1"/>
  <c r="G578" i="1"/>
  <c r="A578" i="1"/>
  <c r="Q577" i="1"/>
  <c r="P577" i="1"/>
  <c r="O577" i="1"/>
  <c r="M577" i="1"/>
  <c r="L577" i="1"/>
  <c r="K577" i="1"/>
  <c r="J577" i="1"/>
  <c r="G577" i="1"/>
  <c r="A577" i="1"/>
  <c r="Q576" i="1"/>
  <c r="P576" i="1"/>
  <c r="O576" i="1"/>
  <c r="M576" i="1"/>
  <c r="L576" i="1"/>
  <c r="K576" i="1"/>
  <c r="J576" i="1"/>
  <c r="G576" i="1"/>
  <c r="A576" i="1"/>
  <c r="Q575" i="1"/>
  <c r="P575" i="1"/>
  <c r="O575" i="1"/>
  <c r="M575" i="1"/>
  <c r="L575" i="1"/>
  <c r="K575" i="1"/>
  <c r="J575" i="1"/>
  <c r="G575" i="1"/>
  <c r="A575" i="1"/>
  <c r="Q574" i="1"/>
  <c r="P574" i="1"/>
  <c r="O574" i="1"/>
  <c r="M574" i="1"/>
  <c r="L574" i="1"/>
  <c r="K574" i="1"/>
  <c r="J574" i="1"/>
  <c r="G574" i="1"/>
  <c r="A574" i="1"/>
  <c r="Q573" i="1"/>
  <c r="P573" i="1"/>
  <c r="O573" i="1"/>
  <c r="M573" i="1"/>
  <c r="L573" i="1"/>
  <c r="K573" i="1"/>
  <c r="J573" i="1"/>
  <c r="G573" i="1"/>
  <c r="A573" i="1"/>
  <c r="Q572" i="1"/>
  <c r="P572" i="1"/>
  <c r="O572" i="1"/>
  <c r="M572" i="1"/>
  <c r="L572" i="1"/>
  <c r="K572" i="1"/>
  <c r="J572" i="1"/>
  <c r="G572" i="1"/>
  <c r="A572" i="1"/>
  <c r="Q571" i="1"/>
  <c r="P571" i="1"/>
  <c r="O571" i="1"/>
  <c r="M571" i="1"/>
  <c r="L571" i="1"/>
  <c r="K571" i="1"/>
  <c r="J571" i="1"/>
  <c r="G571" i="1"/>
  <c r="A571" i="1"/>
  <c r="Q570" i="1"/>
  <c r="P570" i="1"/>
  <c r="O570" i="1"/>
  <c r="M570" i="1"/>
  <c r="L570" i="1"/>
  <c r="K570" i="1"/>
  <c r="J570" i="1"/>
  <c r="G570" i="1"/>
  <c r="A570" i="1"/>
  <c r="Q569" i="1"/>
  <c r="P569" i="1"/>
  <c r="O569" i="1"/>
  <c r="M569" i="1"/>
  <c r="L569" i="1"/>
  <c r="K569" i="1"/>
  <c r="J569" i="1"/>
  <c r="G569" i="1"/>
  <c r="A569" i="1"/>
  <c r="Q568" i="1"/>
  <c r="P568" i="1"/>
  <c r="O568" i="1"/>
  <c r="M568" i="1"/>
  <c r="L568" i="1"/>
  <c r="K568" i="1"/>
  <c r="J568" i="1"/>
  <c r="G568" i="1"/>
  <c r="A568" i="1"/>
  <c r="Q567" i="1"/>
  <c r="P567" i="1"/>
  <c r="O567" i="1"/>
  <c r="M567" i="1"/>
  <c r="L567" i="1"/>
  <c r="K567" i="1"/>
  <c r="J567" i="1"/>
  <c r="G567" i="1"/>
  <c r="A567" i="1"/>
  <c r="Q566" i="1"/>
  <c r="P566" i="1"/>
  <c r="O566" i="1"/>
  <c r="N566" i="1"/>
  <c r="M566" i="1"/>
  <c r="L566" i="1"/>
  <c r="K566" i="1"/>
  <c r="J566" i="1"/>
  <c r="I566" i="1"/>
  <c r="G566" i="1"/>
  <c r="A566" i="1"/>
  <c r="Q565" i="1"/>
  <c r="P565" i="1"/>
  <c r="O565" i="1"/>
  <c r="N565" i="1"/>
  <c r="M565" i="1"/>
  <c r="L565" i="1"/>
  <c r="K565" i="1"/>
  <c r="J565" i="1"/>
  <c r="I565" i="1"/>
  <c r="G565" i="1"/>
  <c r="A565" i="1"/>
  <c r="Q564" i="1"/>
  <c r="P564" i="1"/>
  <c r="O564" i="1"/>
  <c r="N564" i="1"/>
  <c r="M564" i="1"/>
  <c r="L564" i="1"/>
  <c r="K564" i="1"/>
  <c r="J564" i="1"/>
  <c r="I564" i="1"/>
  <c r="G564" i="1"/>
  <c r="A564" i="1"/>
  <c r="Q563" i="1"/>
  <c r="P563" i="1"/>
  <c r="O563" i="1"/>
  <c r="N563" i="1"/>
  <c r="M563" i="1"/>
  <c r="L563" i="1"/>
  <c r="K563" i="1"/>
  <c r="J563" i="1"/>
  <c r="I563" i="1"/>
  <c r="G563" i="1"/>
  <c r="A563" i="1"/>
  <c r="Q562" i="1"/>
  <c r="P562" i="1"/>
  <c r="O562" i="1"/>
  <c r="N562" i="1"/>
  <c r="M562" i="1"/>
  <c r="L562" i="1"/>
  <c r="K562" i="1"/>
  <c r="J562" i="1"/>
  <c r="I562" i="1"/>
  <c r="G562" i="1"/>
  <c r="A562" i="1"/>
  <c r="Q561" i="1"/>
  <c r="P561" i="1"/>
  <c r="O561" i="1"/>
  <c r="N561" i="1"/>
  <c r="M561" i="1"/>
  <c r="L561" i="1"/>
  <c r="K561" i="1"/>
  <c r="J561" i="1"/>
  <c r="I561" i="1"/>
  <c r="G561" i="1"/>
  <c r="A561" i="1"/>
  <c r="Q560" i="1"/>
  <c r="P560" i="1"/>
  <c r="O560" i="1"/>
  <c r="N560" i="1"/>
  <c r="M560" i="1"/>
  <c r="L560" i="1"/>
  <c r="K560" i="1"/>
  <c r="J560" i="1"/>
  <c r="I560" i="1"/>
  <c r="G560" i="1"/>
  <c r="A560" i="1"/>
  <c r="Q559" i="1"/>
  <c r="P559" i="1"/>
  <c r="O559" i="1"/>
  <c r="N559" i="1"/>
  <c r="M559" i="1"/>
  <c r="L559" i="1"/>
  <c r="K559" i="1"/>
  <c r="J559" i="1"/>
  <c r="I559" i="1"/>
  <c r="G559" i="1"/>
  <c r="A559" i="1"/>
  <c r="Q558" i="1"/>
  <c r="P558" i="1"/>
  <c r="O558" i="1"/>
  <c r="N558" i="1"/>
  <c r="M558" i="1"/>
  <c r="L558" i="1"/>
  <c r="K558" i="1"/>
  <c r="J558" i="1"/>
  <c r="I558" i="1"/>
  <c r="G558" i="1"/>
  <c r="A558" i="1"/>
  <c r="Q557" i="1"/>
  <c r="P557" i="1"/>
  <c r="O557" i="1"/>
  <c r="N557" i="1"/>
  <c r="M557" i="1"/>
  <c r="L557" i="1"/>
  <c r="K557" i="1"/>
  <c r="J557" i="1"/>
  <c r="I557" i="1"/>
  <c r="G557" i="1"/>
  <c r="A557" i="1"/>
  <c r="Q556" i="1"/>
  <c r="P556" i="1"/>
  <c r="O556" i="1"/>
  <c r="N556" i="1"/>
  <c r="M556" i="1"/>
  <c r="L556" i="1"/>
  <c r="K556" i="1"/>
  <c r="J556" i="1"/>
  <c r="I556" i="1"/>
  <c r="G556" i="1"/>
  <c r="A556" i="1"/>
  <c r="Q555" i="1"/>
  <c r="P555" i="1"/>
  <c r="O555" i="1"/>
  <c r="N555" i="1"/>
  <c r="M555" i="1"/>
  <c r="L555" i="1"/>
  <c r="K555" i="1"/>
  <c r="J555" i="1"/>
  <c r="I555" i="1"/>
  <c r="G555" i="1"/>
  <c r="A555" i="1"/>
  <c r="Q554" i="1"/>
  <c r="P554" i="1"/>
  <c r="O554" i="1"/>
  <c r="N554" i="1"/>
  <c r="M554" i="1"/>
  <c r="L554" i="1"/>
  <c r="K554" i="1"/>
  <c r="J554" i="1"/>
  <c r="I554" i="1"/>
  <c r="G554" i="1"/>
  <c r="A554" i="1"/>
  <c r="Q553" i="1"/>
  <c r="P553" i="1"/>
  <c r="O553" i="1"/>
  <c r="N553" i="1"/>
  <c r="M553" i="1"/>
  <c r="L553" i="1"/>
  <c r="K553" i="1"/>
  <c r="J553" i="1"/>
  <c r="I553" i="1"/>
  <c r="G553" i="1"/>
  <c r="A553" i="1"/>
  <c r="Q552" i="1"/>
  <c r="P552" i="1"/>
  <c r="O552" i="1"/>
  <c r="N552" i="1"/>
  <c r="M552" i="1"/>
  <c r="L552" i="1"/>
  <c r="K552" i="1"/>
  <c r="J552" i="1"/>
  <c r="I552" i="1"/>
  <c r="G552" i="1"/>
  <c r="A552" i="1"/>
  <c r="Q551" i="1"/>
  <c r="P551" i="1"/>
  <c r="O551" i="1"/>
  <c r="N551" i="1"/>
  <c r="M551" i="1"/>
  <c r="L551" i="1"/>
  <c r="K551" i="1"/>
  <c r="J551" i="1"/>
  <c r="I551" i="1"/>
  <c r="G551" i="1"/>
  <c r="A551" i="1"/>
  <c r="Q550" i="1"/>
  <c r="P550" i="1"/>
  <c r="O550" i="1"/>
  <c r="N550" i="1"/>
  <c r="M550" i="1"/>
  <c r="L550" i="1"/>
  <c r="K550" i="1"/>
  <c r="J550" i="1"/>
  <c r="I550" i="1"/>
  <c r="G550" i="1"/>
  <c r="A550" i="1"/>
  <c r="Q549" i="1"/>
  <c r="P549" i="1"/>
  <c r="O549" i="1"/>
  <c r="N549" i="1"/>
  <c r="M549" i="1"/>
  <c r="L549" i="1"/>
  <c r="K549" i="1"/>
  <c r="J549" i="1"/>
  <c r="I549" i="1"/>
  <c r="G549" i="1"/>
  <c r="A549" i="1"/>
  <c r="Q548" i="1"/>
  <c r="P548" i="1"/>
  <c r="O548" i="1"/>
  <c r="N548" i="1"/>
  <c r="M548" i="1"/>
  <c r="L548" i="1"/>
  <c r="K548" i="1"/>
  <c r="J548" i="1"/>
  <c r="I548" i="1"/>
  <c r="G548" i="1"/>
  <c r="A548" i="1"/>
  <c r="Q547" i="1"/>
  <c r="P547" i="1"/>
  <c r="O547" i="1"/>
  <c r="N547" i="1"/>
  <c r="M547" i="1"/>
  <c r="L547" i="1"/>
  <c r="K547" i="1"/>
  <c r="J547" i="1"/>
  <c r="I547" i="1"/>
  <c r="G547" i="1"/>
  <c r="A547" i="1"/>
  <c r="Q546" i="1"/>
  <c r="P546" i="1"/>
  <c r="O546" i="1"/>
  <c r="N546" i="1"/>
  <c r="M546" i="1"/>
  <c r="L546" i="1"/>
  <c r="K546" i="1"/>
  <c r="J546" i="1"/>
  <c r="I546" i="1"/>
  <c r="G546" i="1"/>
  <c r="A546" i="1"/>
  <c r="Q545" i="1"/>
  <c r="P545" i="1"/>
  <c r="O545" i="1"/>
  <c r="N545" i="1"/>
  <c r="M545" i="1"/>
  <c r="L545" i="1"/>
  <c r="K545" i="1"/>
  <c r="J545" i="1"/>
  <c r="I545" i="1"/>
  <c r="G545" i="1"/>
  <c r="A545" i="1"/>
  <c r="Q544" i="1"/>
  <c r="P544" i="1"/>
  <c r="O544" i="1"/>
  <c r="N544" i="1"/>
  <c r="M544" i="1"/>
  <c r="L544" i="1"/>
  <c r="K544" i="1"/>
  <c r="J544" i="1"/>
  <c r="I544" i="1"/>
  <c r="G544" i="1"/>
  <c r="A544" i="1"/>
  <c r="Q543" i="1"/>
  <c r="P543" i="1"/>
  <c r="O543" i="1"/>
  <c r="N543" i="1"/>
  <c r="M543" i="1"/>
  <c r="L543" i="1"/>
  <c r="K543" i="1"/>
  <c r="J543" i="1"/>
  <c r="I543" i="1"/>
  <c r="G543" i="1"/>
  <c r="A543" i="1"/>
  <c r="Q542" i="1"/>
  <c r="P542" i="1"/>
  <c r="O542" i="1"/>
  <c r="N542" i="1"/>
  <c r="M542" i="1"/>
  <c r="L542" i="1"/>
  <c r="K542" i="1"/>
  <c r="J542" i="1"/>
  <c r="I542" i="1"/>
  <c r="G542" i="1"/>
  <c r="A542" i="1"/>
  <c r="Q541" i="1"/>
  <c r="P541" i="1"/>
  <c r="O541" i="1"/>
  <c r="N541" i="1"/>
  <c r="M541" i="1"/>
  <c r="L541" i="1"/>
  <c r="K541" i="1"/>
  <c r="J541" i="1"/>
  <c r="I541" i="1"/>
  <c r="G541" i="1"/>
  <c r="A541" i="1"/>
  <c r="Q540" i="1"/>
  <c r="P540" i="1"/>
  <c r="O540" i="1"/>
  <c r="N540" i="1"/>
  <c r="M540" i="1"/>
  <c r="L540" i="1"/>
  <c r="K540" i="1"/>
  <c r="J540" i="1"/>
  <c r="I540" i="1"/>
  <c r="G540" i="1"/>
  <c r="A540" i="1"/>
  <c r="Q539" i="1"/>
  <c r="P539" i="1"/>
  <c r="O539" i="1"/>
  <c r="N539" i="1"/>
  <c r="M539" i="1"/>
  <c r="L539" i="1"/>
  <c r="K539" i="1"/>
  <c r="J539" i="1"/>
  <c r="I539" i="1"/>
  <c r="G539" i="1"/>
  <c r="A539" i="1"/>
  <c r="Q538" i="1"/>
  <c r="P538" i="1"/>
  <c r="O538" i="1"/>
  <c r="N538" i="1"/>
  <c r="M538" i="1"/>
  <c r="L538" i="1"/>
  <c r="K538" i="1"/>
  <c r="J538" i="1"/>
  <c r="I538" i="1"/>
  <c r="G538" i="1"/>
  <c r="A538" i="1"/>
  <c r="A537" i="1"/>
  <c r="A536" i="1"/>
  <c r="Q535" i="1"/>
  <c r="P535" i="1"/>
  <c r="O535" i="1"/>
  <c r="M535" i="1"/>
  <c r="L535" i="1"/>
  <c r="K535" i="1"/>
  <c r="J535" i="1"/>
  <c r="G535" i="1"/>
  <c r="A535" i="1"/>
  <c r="Q534" i="1"/>
  <c r="P534" i="1"/>
  <c r="O534" i="1"/>
  <c r="M534" i="1"/>
  <c r="L534" i="1"/>
  <c r="K534" i="1"/>
  <c r="J534" i="1"/>
  <c r="G534" i="1"/>
  <c r="A534" i="1"/>
  <c r="Q533" i="1"/>
  <c r="P533" i="1"/>
  <c r="O533" i="1"/>
  <c r="M533" i="1"/>
  <c r="L533" i="1"/>
  <c r="K533" i="1"/>
  <c r="J533" i="1"/>
  <c r="G533" i="1"/>
  <c r="A533" i="1"/>
  <c r="Q532" i="1"/>
  <c r="P532" i="1"/>
  <c r="O532" i="1"/>
  <c r="M532" i="1"/>
  <c r="L532" i="1"/>
  <c r="K532" i="1"/>
  <c r="J532" i="1"/>
  <c r="G532" i="1"/>
  <c r="A532" i="1"/>
  <c r="Q531" i="1"/>
  <c r="P531" i="1"/>
  <c r="O531" i="1"/>
  <c r="M531" i="1"/>
  <c r="L531" i="1"/>
  <c r="K531" i="1"/>
  <c r="J531" i="1"/>
  <c r="G531" i="1"/>
  <c r="A531" i="1"/>
  <c r="Q530" i="1"/>
  <c r="P530" i="1"/>
  <c r="O530" i="1"/>
  <c r="M530" i="1"/>
  <c r="L530" i="1"/>
  <c r="K530" i="1"/>
  <c r="J530" i="1"/>
  <c r="G530" i="1"/>
  <c r="A530" i="1"/>
  <c r="Q529" i="1"/>
  <c r="P529" i="1"/>
  <c r="O529" i="1"/>
  <c r="M529" i="1"/>
  <c r="L529" i="1"/>
  <c r="K529" i="1"/>
  <c r="J529" i="1"/>
  <c r="G529" i="1"/>
  <c r="A529" i="1"/>
  <c r="Q528" i="1"/>
  <c r="P528" i="1"/>
  <c r="O528" i="1"/>
  <c r="M528" i="1"/>
  <c r="L528" i="1"/>
  <c r="K528" i="1"/>
  <c r="J528" i="1"/>
  <c r="G528" i="1"/>
  <c r="A528" i="1"/>
  <c r="Q527" i="1"/>
  <c r="P527" i="1"/>
  <c r="O527" i="1"/>
  <c r="M527" i="1"/>
  <c r="L527" i="1"/>
  <c r="K527" i="1"/>
  <c r="J527" i="1"/>
  <c r="G527" i="1"/>
  <c r="A527" i="1"/>
  <c r="Q526" i="1"/>
  <c r="P526" i="1"/>
  <c r="O526" i="1"/>
  <c r="M526" i="1"/>
  <c r="L526" i="1"/>
  <c r="K526" i="1"/>
  <c r="J526" i="1"/>
  <c r="G526" i="1"/>
  <c r="A526" i="1"/>
  <c r="Q525" i="1"/>
  <c r="P525" i="1"/>
  <c r="O525" i="1"/>
  <c r="M525" i="1"/>
  <c r="L525" i="1"/>
  <c r="K525" i="1"/>
  <c r="J525" i="1"/>
  <c r="G525" i="1"/>
  <c r="A525" i="1"/>
  <c r="Q524" i="1"/>
  <c r="P524" i="1"/>
  <c r="O524" i="1"/>
  <c r="M524" i="1"/>
  <c r="L524" i="1"/>
  <c r="K524" i="1"/>
  <c r="J524" i="1"/>
  <c r="G524" i="1"/>
  <c r="A524" i="1"/>
  <c r="Q523" i="1"/>
  <c r="P523" i="1"/>
  <c r="O523" i="1"/>
  <c r="M523" i="1"/>
  <c r="L523" i="1"/>
  <c r="K523" i="1"/>
  <c r="J523" i="1"/>
  <c r="G523" i="1"/>
  <c r="A523" i="1"/>
  <c r="A522" i="1"/>
  <c r="A521" i="1"/>
  <c r="Q520" i="1"/>
  <c r="P520" i="1"/>
  <c r="O520" i="1"/>
  <c r="M520" i="1"/>
  <c r="L520" i="1"/>
  <c r="K520" i="1"/>
  <c r="J520" i="1"/>
  <c r="G520" i="1"/>
  <c r="A520" i="1"/>
  <c r="Q519" i="1"/>
  <c r="P519" i="1"/>
  <c r="O519" i="1"/>
  <c r="M519" i="1"/>
  <c r="L519" i="1"/>
  <c r="K519" i="1"/>
  <c r="J519" i="1"/>
  <c r="G519" i="1"/>
  <c r="A519" i="1"/>
  <c r="Q518" i="1"/>
  <c r="P518" i="1"/>
  <c r="O518" i="1"/>
  <c r="M518" i="1"/>
  <c r="L518" i="1"/>
  <c r="K518" i="1"/>
  <c r="J518" i="1"/>
  <c r="G518" i="1"/>
  <c r="A518" i="1"/>
  <c r="Q517" i="1"/>
  <c r="P517" i="1"/>
  <c r="O517" i="1"/>
  <c r="M517" i="1"/>
  <c r="L517" i="1"/>
  <c r="K517" i="1"/>
  <c r="J517" i="1"/>
  <c r="G517" i="1"/>
  <c r="A517" i="1"/>
  <c r="Q516" i="1"/>
  <c r="P516" i="1"/>
  <c r="O516" i="1"/>
  <c r="M516" i="1"/>
  <c r="L516" i="1"/>
  <c r="K516" i="1"/>
  <c r="J516" i="1"/>
  <c r="G516" i="1"/>
  <c r="A516" i="1"/>
  <c r="A515" i="1"/>
  <c r="A514" i="1"/>
  <c r="Q513" i="1"/>
  <c r="P513" i="1"/>
  <c r="O513" i="1"/>
  <c r="M513" i="1"/>
  <c r="L513" i="1"/>
  <c r="K513" i="1"/>
  <c r="J513" i="1"/>
  <c r="G513" i="1"/>
  <c r="A513" i="1"/>
  <c r="Q512" i="1"/>
  <c r="P512" i="1"/>
  <c r="O512" i="1"/>
  <c r="M512" i="1"/>
  <c r="L512" i="1"/>
  <c r="K512" i="1"/>
  <c r="J512" i="1"/>
  <c r="G512" i="1"/>
  <c r="A512" i="1"/>
  <c r="Q511" i="1"/>
  <c r="P511" i="1"/>
  <c r="O511" i="1"/>
  <c r="M511" i="1"/>
  <c r="L511" i="1"/>
  <c r="K511" i="1"/>
  <c r="J511" i="1"/>
  <c r="G511" i="1"/>
  <c r="A511" i="1"/>
  <c r="Q510" i="1"/>
  <c r="P510" i="1"/>
  <c r="O510" i="1"/>
  <c r="M510" i="1"/>
  <c r="L510" i="1"/>
  <c r="K510" i="1"/>
  <c r="J510" i="1"/>
  <c r="G510" i="1"/>
  <c r="A510" i="1"/>
  <c r="Q509" i="1"/>
  <c r="P509" i="1"/>
  <c r="O509" i="1"/>
  <c r="M509" i="1"/>
  <c r="L509" i="1"/>
  <c r="K509" i="1"/>
  <c r="J509" i="1"/>
  <c r="G509" i="1"/>
  <c r="E509" i="1"/>
  <c r="A509" i="1"/>
  <c r="Q508" i="1"/>
  <c r="P508" i="1"/>
  <c r="O508" i="1"/>
  <c r="M508" i="1"/>
  <c r="L508" i="1"/>
  <c r="K508" i="1"/>
  <c r="J508" i="1"/>
  <c r="G508" i="1"/>
  <c r="E508" i="1"/>
  <c r="A508" i="1"/>
  <c r="Q507" i="1"/>
  <c r="P507" i="1"/>
  <c r="O507" i="1"/>
  <c r="M507" i="1"/>
  <c r="L507" i="1"/>
  <c r="K507" i="1"/>
  <c r="J507" i="1"/>
  <c r="G507" i="1"/>
  <c r="E507" i="1"/>
  <c r="A507" i="1"/>
  <c r="G506" i="1"/>
  <c r="E506" i="1"/>
  <c r="A506" i="1"/>
  <c r="Q505" i="1"/>
  <c r="P505" i="1"/>
  <c r="O505" i="1"/>
  <c r="M505" i="1"/>
  <c r="L505" i="1"/>
  <c r="K505" i="1"/>
  <c r="J505" i="1"/>
  <c r="G505" i="1"/>
  <c r="A505" i="1"/>
  <c r="Q504" i="1"/>
  <c r="P504" i="1"/>
  <c r="O504" i="1"/>
  <c r="M504" i="1"/>
  <c r="L504" i="1"/>
  <c r="K504" i="1"/>
  <c r="J504" i="1"/>
  <c r="G504" i="1"/>
  <c r="E504" i="1"/>
  <c r="A504" i="1"/>
  <c r="Q503" i="1"/>
  <c r="P503" i="1"/>
  <c r="O503" i="1"/>
  <c r="M503" i="1"/>
  <c r="L503" i="1"/>
  <c r="K503" i="1"/>
  <c r="J503" i="1"/>
  <c r="G503" i="1"/>
  <c r="E503" i="1"/>
  <c r="A503" i="1"/>
  <c r="Q502" i="1"/>
  <c r="P502" i="1"/>
  <c r="O502" i="1"/>
  <c r="M502" i="1"/>
  <c r="L502" i="1"/>
  <c r="K502" i="1"/>
  <c r="J502" i="1"/>
  <c r="G502" i="1"/>
  <c r="E502" i="1"/>
  <c r="A502" i="1"/>
  <c r="J501" i="1"/>
  <c r="G501" i="1"/>
  <c r="E501" i="1"/>
  <c r="A501" i="1"/>
  <c r="Q500" i="1"/>
  <c r="P500" i="1"/>
  <c r="O500" i="1"/>
  <c r="M500" i="1"/>
  <c r="L500" i="1"/>
  <c r="K500" i="1"/>
  <c r="J500" i="1"/>
  <c r="G500" i="1"/>
  <c r="A500" i="1"/>
  <c r="Q499" i="1"/>
  <c r="P499" i="1"/>
  <c r="O499" i="1"/>
  <c r="M499" i="1"/>
  <c r="L499" i="1"/>
  <c r="K499" i="1"/>
  <c r="J499" i="1"/>
  <c r="G499" i="1"/>
  <c r="E499" i="1"/>
  <c r="A499" i="1"/>
  <c r="Q498" i="1"/>
  <c r="P498" i="1"/>
  <c r="O498" i="1"/>
  <c r="M498" i="1"/>
  <c r="L498" i="1"/>
  <c r="K498" i="1"/>
  <c r="J498" i="1"/>
  <c r="G498" i="1"/>
  <c r="E498" i="1"/>
  <c r="A498" i="1"/>
  <c r="Q497" i="1"/>
  <c r="P497" i="1"/>
  <c r="O497" i="1"/>
  <c r="M497" i="1"/>
  <c r="L497" i="1"/>
  <c r="K497" i="1"/>
  <c r="J497" i="1"/>
  <c r="G497" i="1"/>
  <c r="E497" i="1"/>
  <c r="A497" i="1"/>
  <c r="G496" i="1"/>
  <c r="E496" i="1"/>
  <c r="A496" i="1"/>
  <c r="Q495" i="1"/>
  <c r="P495" i="1"/>
  <c r="O495" i="1"/>
  <c r="M495" i="1"/>
  <c r="L495" i="1"/>
  <c r="K495" i="1"/>
  <c r="J495" i="1"/>
  <c r="G495" i="1"/>
  <c r="A495" i="1"/>
  <c r="Q494" i="1"/>
  <c r="P494" i="1"/>
  <c r="O494" i="1"/>
  <c r="M494" i="1"/>
  <c r="L494" i="1"/>
  <c r="K494" i="1"/>
  <c r="J494" i="1"/>
  <c r="G494" i="1"/>
  <c r="E494" i="1"/>
  <c r="A494" i="1"/>
  <c r="Q493" i="1"/>
  <c r="P493" i="1"/>
  <c r="O493" i="1"/>
  <c r="M493" i="1"/>
  <c r="L493" i="1"/>
  <c r="K493" i="1"/>
  <c r="J493" i="1"/>
  <c r="G493" i="1"/>
  <c r="E493" i="1"/>
  <c r="A493" i="1"/>
  <c r="Q492" i="1"/>
  <c r="P492" i="1"/>
  <c r="O492" i="1"/>
  <c r="M492" i="1"/>
  <c r="L492" i="1"/>
  <c r="K492" i="1"/>
  <c r="J492" i="1"/>
  <c r="G492" i="1"/>
  <c r="E492" i="1"/>
  <c r="A492" i="1"/>
  <c r="G491" i="1"/>
  <c r="E491" i="1"/>
  <c r="A491" i="1"/>
  <c r="Q490" i="1"/>
  <c r="P490" i="1"/>
  <c r="O490" i="1"/>
  <c r="M490" i="1"/>
  <c r="L490" i="1"/>
  <c r="K490" i="1"/>
  <c r="J490" i="1"/>
  <c r="G490" i="1"/>
  <c r="A490" i="1"/>
  <c r="A489" i="1"/>
  <c r="A488" i="1"/>
  <c r="Q487" i="1"/>
  <c r="P487" i="1"/>
  <c r="O487" i="1"/>
  <c r="M487" i="1"/>
  <c r="L487" i="1"/>
  <c r="K487" i="1"/>
  <c r="J487" i="1"/>
  <c r="G487" i="1"/>
  <c r="A487" i="1"/>
  <c r="Q486" i="1"/>
  <c r="P486" i="1"/>
  <c r="O486" i="1"/>
  <c r="M486" i="1"/>
  <c r="L486" i="1"/>
  <c r="K486" i="1"/>
  <c r="J486" i="1"/>
  <c r="G486" i="1"/>
  <c r="A486" i="1"/>
  <c r="Q485" i="1"/>
  <c r="P485" i="1"/>
  <c r="O485" i="1"/>
  <c r="M485" i="1"/>
  <c r="L485" i="1"/>
  <c r="K485" i="1"/>
  <c r="J485" i="1"/>
  <c r="G485" i="1"/>
  <c r="A485" i="1"/>
  <c r="Q484" i="1"/>
  <c r="P484" i="1"/>
  <c r="O484" i="1"/>
  <c r="M484" i="1"/>
  <c r="L484" i="1"/>
  <c r="K484" i="1"/>
  <c r="J484" i="1"/>
  <c r="G484" i="1"/>
  <c r="A484" i="1"/>
  <c r="Q483" i="1"/>
  <c r="P483" i="1"/>
  <c r="O483" i="1"/>
  <c r="M483" i="1"/>
  <c r="L483" i="1"/>
  <c r="K483" i="1"/>
  <c r="J483" i="1"/>
  <c r="G483" i="1"/>
  <c r="A483" i="1"/>
  <c r="Q482" i="1"/>
  <c r="P482" i="1"/>
  <c r="O482" i="1"/>
  <c r="M482" i="1"/>
  <c r="L482" i="1"/>
  <c r="K482" i="1"/>
  <c r="J482" i="1"/>
  <c r="G482" i="1"/>
  <c r="A482" i="1"/>
  <c r="A481" i="1"/>
  <c r="A480" i="1"/>
  <c r="Q479" i="1"/>
  <c r="P479" i="1"/>
  <c r="O479" i="1"/>
  <c r="M479" i="1"/>
  <c r="L479" i="1"/>
  <c r="K479" i="1"/>
  <c r="J479" i="1"/>
  <c r="G479" i="1"/>
  <c r="A479" i="1"/>
  <c r="Q478" i="1"/>
  <c r="P478" i="1"/>
  <c r="O478" i="1"/>
  <c r="M478" i="1"/>
  <c r="L478" i="1"/>
  <c r="K478" i="1"/>
  <c r="J478" i="1"/>
  <c r="G478" i="1"/>
  <c r="A478" i="1"/>
  <c r="Q477" i="1"/>
  <c r="P477" i="1"/>
  <c r="O477" i="1"/>
  <c r="M477" i="1"/>
  <c r="L477" i="1"/>
  <c r="K477" i="1"/>
  <c r="J477" i="1"/>
  <c r="G477" i="1"/>
  <c r="A477" i="1"/>
  <c r="Q476" i="1"/>
  <c r="P476" i="1"/>
  <c r="O476" i="1"/>
  <c r="N476" i="1"/>
  <c r="M476" i="1"/>
  <c r="L476" i="1"/>
  <c r="K476" i="1"/>
  <c r="J476" i="1"/>
  <c r="G476" i="1"/>
  <c r="A476" i="1"/>
  <c r="Q475" i="1"/>
  <c r="P475" i="1"/>
  <c r="O475" i="1"/>
  <c r="M475" i="1"/>
  <c r="L475" i="1"/>
  <c r="K475" i="1"/>
  <c r="J475" i="1"/>
  <c r="G475" i="1"/>
  <c r="A475" i="1"/>
  <c r="Q474" i="1"/>
  <c r="P474" i="1"/>
  <c r="O474" i="1"/>
  <c r="M474" i="1"/>
  <c r="L474" i="1"/>
  <c r="K474" i="1"/>
  <c r="J474" i="1"/>
  <c r="G474" i="1"/>
  <c r="A474" i="1"/>
  <c r="A473" i="1"/>
  <c r="A472" i="1"/>
  <c r="Q471" i="1"/>
  <c r="P471" i="1"/>
  <c r="O471" i="1"/>
  <c r="M471" i="1"/>
  <c r="L471" i="1"/>
  <c r="K471" i="1"/>
  <c r="J471" i="1"/>
  <c r="G471" i="1"/>
  <c r="A471" i="1"/>
  <c r="Q470" i="1"/>
  <c r="P470" i="1"/>
  <c r="O470" i="1"/>
  <c r="M470" i="1"/>
  <c r="L470" i="1"/>
  <c r="K470" i="1"/>
  <c r="J470" i="1"/>
  <c r="G470" i="1"/>
  <c r="A470" i="1"/>
  <c r="Q469" i="1"/>
  <c r="P469" i="1"/>
  <c r="O469" i="1"/>
  <c r="M469" i="1"/>
  <c r="L469" i="1"/>
  <c r="K469" i="1"/>
  <c r="J469" i="1"/>
  <c r="G469" i="1"/>
  <c r="A469" i="1"/>
  <c r="Q468" i="1"/>
  <c r="P468" i="1"/>
  <c r="O468" i="1"/>
  <c r="M468" i="1"/>
  <c r="L468" i="1"/>
  <c r="K468" i="1"/>
  <c r="J468" i="1"/>
  <c r="G468" i="1"/>
  <c r="A468" i="1"/>
  <c r="Q467" i="1"/>
  <c r="P467" i="1"/>
  <c r="O467" i="1"/>
  <c r="M467" i="1"/>
  <c r="L467" i="1"/>
  <c r="K467" i="1"/>
  <c r="J467" i="1"/>
  <c r="G467" i="1"/>
  <c r="A467" i="1"/>
  <c r="Q466" i="1"/>
  <c r="P466" i="1"/>
  <c r="O466" i="1"/>
  <c r="M466" i="1"/>
  <c r="L466" i="1"/>
  <c r="K466" i="1"/>
  <c r="J466" i="1"/>
  <c r="G466" i="1"/>
  <c r="E466" i="1"/>
  <c r="A466" i="1"/>
  <c r="Q465" i="1"/>
  <c r="P465" i="1"/>
  <c r="O465" i="1"/>
  <c r="M465" i="1"/>
  <c r="L465" i="1"/>
  <c r="K465" i="1"/>
  <c r="J465" i="1"/>
  <c r="G465" i="1"/>
  <c r="E465" i="1"/>
  <c r="A465" i="1"/>
  <c r="Q464" i="1"/>
  <c r="P464" i="1"/>
  <c r="O464" i="1"/>
  <c r="M464" i="1"/>
  <c r="L464" i="1"/>
  <c r="K464" i="1"/>
  <c r="J464" i="1"/>
  <c r="G464" i="1"/>
  <c r="E464" i="1"/>
  <c r="A464" i="1"/>
  <c r="G463" i="1"/>
  <c r="E463" i="1"/>
  <c r="A463" i="1"/>
  <c r="Q462" i="1"/>
  <c r="P462" i="1"/>
  <c r="O462" i="1"/>
  <c r="M462" i="1"/>
  <c r="L462" i="1"/>
  <c r="K462" i="1"/>
  <c r="J462" i="1"/>
  <c r="G462" i="1"/>
  <c r="A462" i="1"/>
  <c r="A461" i="1"/>
  <c r="A460" i="1"/>
  <c r="Q459" i="1"/>
  <c r="P459" i="1"/>
  <c r="O459" i="1"/>
  <c r="M459" i="1"/>
  <c r="L459" i="1"/>
  <c r="K459" i="1"/>
  <c r="J459" i="1"/>
  <c r="G459" i="1"/>
  <c r="A459" i="1"/>
  <c r="Q458" i="1"/>
  <c r="P458" i="1"/>
  <c r="O458" i="1"/>
  <c r="M458" i="1"/>
  <c r="L458" i="1"/>
  <c r="K458" i="1"/>
  <c r="J458" i="1"/>
  <c r="G458" i="1"/>
  <c r="A458" i="1"/>
  <c r="Q457" i="1"/>
  <c r="P457" i="1"/>
  <c r="O457" i="1"/>
  <c r="M457" i="1"/>
  <c r="L457" i="1"/>
  <c r="K457" i="1"/>
  <c r="J457" i="1"/>
  <c r="G457" i="1"/>
  <c r="A457" i="1"/>
  <c r="Q456" i="1"/>
  <c r="P456" i="1"/>
  <c r="O456" i="1"/>
  <c r="M456" i="1"/>
  <c r="L456" i="1"/>
  <c r="K456" i="1"/>
  <c r="J456" i="1"/>
  <c r="G456" i="1"/>
  <c r="A456" i="1"/>
  <c r="Q455" i="1"/>
  <c r="P455" i="1"/>
  <c r="O455" i="1"/>
  <c r="M455" i="1"/>
  <c r="L455" i="1"/>
  <c r="K455" i="1"/>
  <c r="J455" i="1"/>
  <c r="G455" i="1"/>
  <c r="A455" i="1"/>
  <c r="Q454" i="1"/>
  <c r="P454" i="1"/>
  <c r="O454" i="1"/>
  <c r="M454" i="1"/>
  <c r="L454" i="1"/>
  <c r="K454" i="1"/>
  <c r="J454" i="1"/>
  <c r="G454" i="1"/>
  <c r="E454" i="1"/>
  <c r="A454" i="1"/>
  <c r="Q453" i="1"/>
  <c r="P453" i="1"/>
  <c r="O453" i="1"/>
  <c r="M453" i="1"/>
  <c r="L453" i="1"/>
  <c r="K453" i="1"/>
  <c r="J453" i="1"/>
  <c r="G453" i="1"/>
  <c r="E453" i="1"/>
  <c r="A453" i="1"/>
  <c r="Q452" i="1"/>
  <c r="P452" i="1"/>
  <c r="O452" i="1"/>
  <c r="M452" i="1"/>
  <c r="L452" i="1"/>
  <c r="K452" i="1"/>
  <c r="J452" i="1"/>
  <c r="G452" i="1"/>
  <c r="E452" i="1"/>
  <c r="A452" i="1"/>
  <c r="G451" i="1"/>
  <c r="E451" i="1"/>
  <c r="A451" i="1"/>
  <c r="Q450" i="1"/>
  <c r="P450" i="1"/>
  <c r="O450" i="1"/>
  <c r="M450" i="1"/>
  <c r="L450" i="1"/>
  <c r="K450" i="1"/>
  <c r="J450" i="1"/>
  <c r="G450" i="1"/>
  <c r="A450" i="1"/>
  <c r="A449" i="1"/>
  <c r="A448" i="1"/>
  <c r="Q447" i="1"/>
  <c r="P447" i="1"/>
  <c r="O447" i="1"/>
  <c r="M447" i="1"/>
  <c r="L447" i="1"/>
  <c r="K447" i="1"/>
  <c r="J447" i="1"/>
  <c r="G447" i="1"/>
  <c r="A447" i="1"/>
  <c r="Q446" i="1"/>
  <c r="P446" i="1"/>
  <c r="O446" i="1"/>
  <c r="M446" i="1"/>
  <c r="L446" i="1"/>
  <c r="K446" i="1"/>
  <c r="J446" i="1"/>
  <c r="G446" i="1"/>
  <c r="A446" i="1"/>
  <c r="Q445" i="1"/>
  <c r="P445" i="1"/>
  <c r="O445" i="1"/>
  <c r="M445" i="1"/>
  <c r="L445" i="1"/>
  <c r="K445" i="1"/>
  <c r="J445" i="1"/>
  <c r="G445" i="1"/>
  <c r="A445" i="1"/>
  <c r="Q444" i="1"/>
  <c r="P444" i="1"/>
  <c r="O444" i="1"/>
  <c r="M444" i="1"/>
  <c r="L444" i="1"/>
  <c r="K444" i="1"/>
  <c r="J444" i="1"/>
  <c r="G444" i="1"/>
  <c r="A444" i="1"/>
  <c r="Q443" i="1"/>
  <c r="P443" i="1"/>
  <c r="O443" i="1"/>
  <c r="M443" i="1"/>
  <c r="L443" i="1"/>
  <c r="K443" i="1"/>
  <c r="J443" i="1"/>
  <c r="G443" i="1"/>
  <c r="A443" i="1"/>
  <c r="Q442" i="1"/>
  <c r="P442" i="1"/>
  <c r="O442" i="1"/>
  <c r="M442" i="1"/>
  <c r="L442" i="1"/>
  <c r="K442" i="1"/>
  <c r="J442" i="1"/>
  <c r="G442" i="1"/>
  <c r="E442" i="1"/>
  <c r="A442" i="1"/>
  <c r="Q441" i="1"/>
  <c r="P441" i="1"/>
  <c r="O441" i="1"/>
  <c r="M441" i="1"/>
  <c r="L441" i="1"/>
  <c r="K441" i="1"/>
  <c r="J441" i="1"/>
  <c r="G441" i="1"/>
  <c r="E441" i="1"/>
  <c r="A441" i="1"/>
  <c r="Q440" i="1"/>
  <c r="P440" i="1"/>
  <c r="O440" i="1"/>
  <c r="M440" i="1"/>
  <c r="L440" i="1"/>
  <c r="K440" i="1"/>
  <c r="J440" i="1"/>
  <c r="G440" i="1"/>
  <c r="E440" i="1"/>
  <c r="A440" i="1"/>
  <c r="G439" i="1"/>
  <c r="E439" i="1"/>
  <c r="A439" i="1"/>
  <c r="Q438" i="1"/>
  <c r="P438" i="1"/>
  <c r="O438" i="1"/>
  <c r="M438" i="1"/>
  <c r="L438" i="1"/>
  <c r="K438" i="1"/>
  <c r="J438" i="1"/>
  <c r="G438" i="1"/>
  <c r="A438" i="1"/>
  <c r="Q437" i="1"/>
  <c r="P437" i="1"/>
  <c r="O437" i="1"/>
  <c r="M437" i="1"/>
  <c r="L437" i="1"/>
  <c r="K437" i="1"/>
  <c r="J437" i="1"/>
  <c r="G437" i="1"/>
  <c r="E437" i="1"/>
  <c r="A437" i="1"/>
  <c r="Q436" i="1"/>
  <c r="P436" i="1"/>
  <c r="O436" i="1"/>
  <c r="M436" i="1"/>
  <c r="L436" i="1"/>
  <c r="K436" i="1"/>
  <c r="J436" i="1"/>
  <c r="G436" i="1"/>
  <c r="E436" i="1"/>
  <c r="A436" i="1"/>
  <c r="Q435" i="1"/>
  <c r="P435" i="1"/>
  <c r="O435" i="1"/>
  <c r="M435" i="1"/>
  <c r="L435" i="1"/>
  <c r="K435" i="1"/>
  <c r="J435" i="1"/>
  <c r="G435" i="1"/>
  <c r="E435" i="1"/>
  <c r="A435" i="1"/>
  <c r="G434" i="1"/>
  <c r="E434" i="1"/>
  <c r="A434" i="1"/>
  <c r="Q433" i="1"/>
  <c r="P433" i="1"/>
  <c r="O433" i="1"/>
  <c r="M433" i="1"/>
  <c r="L433" i="1"/>
  <c r="K433" i="1"/>
  <c r="J433" i="1"/>
  <c r="G433" i="1"/>
  <c r="A433" i="1"/>
  <c r="A432" i="1"/>
  <c r="A431" i="1"/>
  <c r="Q430" i="1"/>
  <c r="P430" i="1"/>
  <c r="O430" i="1"/>
  <c r="M430" i="1"/>
  <c r="L430" i="1"/>
  <c r="K430" i="1"/>
  <c r="J430" i="1"/>
  <c r="G430" i="1"/>
  <c r="A430" i="1"/>
  <c r="Q429" i="1"/>
  <c r="P429" i="1"/>
  <c r="O429" i="1"/>
  <c r="M429" i="1"/>
  <c r="L429" i="1"/>
  <c r="K429" i="1"/>
  <c r="J429" i="1"/>
  <c r="G429" i="1"/>
  <c r="A429" i="1"/>
  <c r="Q428" i="1"/>
  <c r="P428" i="1"/>
  <c r="O428" i="1"/>
  <c r="M428" i="1"/>
  <c r="L428" i="1"/>
  <c r="K428" i="1"/>
  <c r="J428" i="1"/>
  <c r="G428" i="1"/>
  <c r="A428" i="1"/>
  <c r="Q427" i="1"/>
  <c r="P427" i="1"/>
  <c r="O427" i="1"/>
  <c r="M427" i="1"/>
  <c r="L427" i="1"/>
  <c r="K427" i="1"/>
  <c r="J427" i="1"/>
  <c r="G427" i="1"/>
  <c r="A427" i="1"/>
  <c r="Q426" i="1"/>
  <c r="P426" i="1"/>
  <c r="O426" i="1"/>
  <c r="M426" i="1"/>
  <c r="L426" i="1"/>
  <c r="K426" i="1"/>
  <c r="J426" i="1"/>
  <c r="G426" i="1"/>
  <c r="A426" i="1"/>
  <c r="Q425" i="1"/>
  <c r="P425" i="1"/>
  <c r="O425" i="1"/>
  <c r="M425" i="1"/>
  <c r="L425" i="1"/>
  <c r="K425" i="1"/>
  <c r="J425" i="1"/>
  <c r="G425" i="1"/>
  <c r="E425" i="1"/>
  <c r="A425" i="1"/>
  <c r="Q424" i="1"/>
  <c r="P424" i="1"/>
  <c r="O424" i="1"/>
  <c r="M424" i="1"/>
  <c r="L424" i="1"/>
  <c r="K424" i="1"/>
  <c r="J424" i="1"/>
  <c r="G424" i="1"/>
  <c r="E424" i="1"/>
  <c r="A424" i="1"/>
  <c r="Q423" i="1"/>
  <c r="P423" i="1"/>
  <c r="O423" i="1"/>
  <c r="M423" i="1"/>
  <c r="L423" i="1"/>
  <c r="K423" i="1"/>
  <c r="J423" i="1"/>
  <c r="G423" i="1"/>
  <c r="E423" i="1"/>
  <c r="A423" i="1"/>
  <c r="G422" i="1"/>
  <c r="E422" i="1"/>
  <c r="A422" i="1"/>
  <c r="Q421" i="1"/>
  <c r="P421" i="1"/>
  <c r="O421" i="1"/>
  <c r="M421" i="1"/>
  <c r="L421" i="1"/>
  <c r="K421" i="1"/>
  <c r="J421" i="1"/>
  <c r="G421" i="1"/>
  <c r="A421" i="1"/>
  <c r="Q420" i="1"/>
  <c r="P420" i="1"/>
  <c r="O420" i="1"/>
  <c r="M420" i="1"/>
  <c r="L420" i="1"/>
  <c r="K420" i="1"/>
  <c r="J420" i="1"/>
  <c r="G420" i="1"/>
  <c r="E420" i="1"/>
  <c r="A420" i="1"/>
  <c r="Q419" i="1"/>
  <c r="P419" i="1"/>
  <c r="O419" i="1"/>
  <c r="M419" i="1"/>
  <c r="L419" i="1"/>
  <c r="K419" i="1"/>
  <c r="J419" i="1"/>
  <c r="G419" i="1"/>
  <c r="E419" i="1"/>
  <c r="A419" i="1"/>
  <c r="Q418" i="1"/>
  <c r="P418" i="1"/>
  <c r="O418" i="1"/>
  <c r="M418" i="1"/>
  <c r="L418" i="1"/>
  <c r="K418" i="1"/>
  <c r="J418" i="1"/>
  <c r="G418" i="1"/>
  <c r="E418" i="1"/>
  <c r="A418" i="1"/>
  <c r="G417" i="1"/>
  <c r="E417" i="1"/>
  <c r="A417" i="1"/>
  <c r="Q416" i="1"/>
  <c r="P416" i="1"/>
  <c r="O416" i="1"/>
  <c r="M416" i="1"/>
  <c r="L416" i="1"/>
  <c r="K416" i="1"/>
  <c r="J416" i="1"/>
  <c r="G416" i="1"/>
  <c r="A416" i="1"/>
  <c r="A415" i="1"/>
  <c r="A414" i="1"/>
  <c r="Q413" i="1"/>
  <c r="P413" i="1"/>
  <c r="O413" i="1"/>
  <c r="M413" i="1"/>
  <c r="L413" i="1"/>
  <c r="K413" i="1"/>
  <c r="J413" i="1"/>
  <c r="G413" i="1"/>
  <c r="A413" i="1"/>
  <c r="Q412" i="1"/>
  <c r="P412" i="1"/>
  <c r="O412" i="1"/>
  <c r="M412" i="1"/>
  <c r="L412" i="1"/>
  <c r="K412" i="1"/>
  <c r="J412" i="1"/>
  <c r="G412" i="1"/>
  <c r="A412" i="1"/>
  <c r="Q411" i="1"/>
  <c r="P411" i="1"/>
  <c r="O411" i="1"/>
  <c r="M411" i="1"/>
  <c r="L411" i="1"/>
  <c r="K411" i="1"/>
  <c r="J411" i="1"/>
  <c r="G411" i="1"/>
  <c r="A411" i="1"/>
  <c r="Q410" i="1"/>
  <c r="P410" i="1"/>
  <c r="O410" i="1"/>
  <c r="M410" i="1"/>
  <c r="L410" i="1"/>
  <c r="K410" i="1"/>
  <c r="J410" i="1"/>
  <c r="G410" i="1"/>
  <c r="A410" i="1"/>
  <c r="Q409" i="1"/>
  <c r="P409" i="1"/>
  <c r="O409" i="1"/>
  <c r="M409" i="1"/>
  <c r="L409" i="1"/>
  <c r="K409" i="1"/>
  <c r="J409" i="1"/>
  <c r="G409" i="1"/>
  <c r="A409" i="1"/>
  <c r="Q408" i="1"/>
  <c r="P408" i="1"/>
  <c r="O408" i="1"/>
  <c r="M408" i="1"/>
  <c r="L408" i="1"/>
  <c r="K408" i="1"/>
  <c r="J408" i="1"/>
  <c r="G408" i="1"/>
  <c r="E408" i="1"/>
  <c r="A408" i="1"/>
  <c r="Q407" i="1"/>
  <c r="P407" i="1"/>
  <c r="O407" i="1"/>
  <c r="M407" i="1"/>
  <c r="L407" i="1"/>
  <c r="K407" i="1"/>
  <c r="J407" i="1"/>
  <c r="G407" i="1"/>
  <c r="E407" i="1"/>
  <c r="A407" i="1"/>
  <c r="Q406" i="1"/>
  <c r="P406" i="1"/>
  <c r="O406" i="1"/>
  <c r="M406" i="1"/>
  <c r="L406" i="1"/>
  <c r="K406" i="1"/>
  <c r="J406" i="1"/>
  <c r="G406" i="1"/>
  <c r="E406" i="1"/>
  <c r="A406" i="1"/>
  <c r="G405" i="1"/>
  <c r="E405" i="1"/>
  <c r="A405" i="1"/>
  <c r="Q404" i="1"/>
  <c r="P404" i="1"/>
  <c r="O404" i="1"/>
  <c r="M404" i="1"/>
  <c r="L404" i="1"/>
  <c r="K404" i="1"/>
  <c r="J404" i="1"/>
  <c r="G404" i="1"/>
  <c r="A404" i="1"/>
  <c r="Q403" i="1"/>
  <c r="P403" i="1"/>
  <c r="O403" i="1"/>
  <c r="M403" i="1"/>
  <c r="L403" i="1"/>
  <c r="K403" i="1"/>
  <c r="J403" i="1"/>
  <c r="G403" i="1"/>
  <c r="E403" i="1"/>
  <c r="A403" i="1"/>
  <c r="Q402" i="1"/>
  <c r="P402" i="1"/>
  <c r="O402" i="1"/>
  <c r="M402" i="1"/>
  <c r="L402" i="1"/>
  <c r="K402" i="1"/>
  <c r="J402" i="1"/>
  <c r="G402" i="1"/>
  <c r="E402" i="1"/>
  <c r="A402" i="1"/>
  <c r="Q401" i="1"/>
  <c r="P401" i="1"/>
  <c r="O401" i="1"/>
  <c r="M401" i="1"/>
  <c r="L401" i="1"/>
  <c r="K401" i="1"/>
  <c r="J401" i="1"/>
  <c r="G401" i="1"/>
  <c r="E401" i="1"/>
  <c r="A401" i="1"/>
  <c r="G400" i="1"/>
  <c r="E400" i="1"/>
  <c r="A400" i="1"/>
  <c r="Q399" i="1"/>
  <c r="P399" i="1"/>
  <c r="O399" i="1"/>
  <c r="M399" i="1"/>
  <c r="L399" i="1"/>
  <c r="K399" i="1"/>
  <c r="J399" i="1"/>
  <c r="G399" i="1"/>
  <c r="A399" i="1"/>
  <c r="A398" i="1"/>
  <c r="A397" i="1"/>
  <c r="Q396" i="1"/>
  <c r="P396" i="1"/>
  <c r="O396" i="1"/>
  <c r="M396" i="1"/>
  <c r="L396" i="1"/>
  <c r="K396" i="1"/>
  <c r="J396" i="1"/>
  <c r="G396" i="1"/>
  <c r="A396" i="1"/>
  <c r="Q395" i="1"/>
  <c r="P395" i="1"/>
  <c r="O395" i="1"/>
  <c r="M395" i="1"/>
  <c r="L395" i="1"/>
  <c r="K395" i="1"/>
  <c r="J395" i="1"/>
  <c r="G395" i="1"/>
  <c r="A395" i="1"/>
  <c r="Q394" i="1"/>
  <c r="P394" i="1"/>
  <c r="O394" i="1"/>
  <c r="M394" i="1"/>
  <c r="L394" i="1"/>
  <c r="K394" i="1"/>
  <c r="J394" i="1"/>
  <c r="G394" i="1"/>
  <c r="A394" i="1"/>
  <c r="Q393" i="1"/>
  <c r="P393" i="1"/>
  <c r="O393" i="1"/>
  <c r="M393" i="1"/>
  <c r="L393" i="1"/>
  <c r="K393" i="1"/>
  <c r="J393" i="1"/>
  <c r="G393" i="1"/>
  <c r="A393" i="1"/>
  <c r="Q392" i="1"/>
  <c r="P392" i="1"/>
  <c r="O392" i="1"/>
  <c r="M392" i="1"/>
  <c r="L392" i="1"/>
  <c r="K392" i="1"/>
  <c r="J392" i="1"/>
  <c r="G392" i="1"/>
  <c r="A392" i="1"/>
  <c r="Q391" i="1"/>
  <c r="P391" i="1"/>
  <c r="O391" i="1"/>
  <c r="M391" i="1"/>
  <c r="L391" i="1"/>
  <c r="K391" i="1"/>
  <c r="J391" i="1"/>
  <c r="G391" i="1"/>
  <c r="A391" i="1"/>
  <c r="Q390" i="1"/>
  <c r="P390" i="1"/>
  <c r="O390" i="1"/>
  <c r="M390" i="1"/>
  <c r="L390" i="1"/>
  <c r="K390" i="1"/>
  <c r="J390" i="1"/>
  <c r="G390" i="1"/>
  <c r="E390" i="1"/>
  <c r="A390" i="1"/>
  <c r="Q389" i="1"/>
  <c r="P389" i="1"/>
  <c r="O389" i="1"/>
  <c r="M389" i="1"/>
  <c r="L389" i="1"/>
  <c r="K389" i="1"/>
  <c r="J389" i="1"/>
  <c r="G389" i="1"/>
  <c r="E389" i="1"/>
  <c r="A389" i="1"/>
  <c r="Q388" i="1"/>
  <c r="P388" i="1"/>
  <c r="O388" i="1"/>
  <c r="M388" i="1"/>
  <c r="L388" i="1"/>
  <c r="K388" i="1"/>
  <c r="J388" i="1"/>
  <c r="G388" i="1"/>
  <c r="E388" i="1"/>
  <c r="A388" i="1"/>
  <c r="G387" i="1"/>
  <c r="E387" i="1"/>
  <c r="A387" i="1"/>
  <c r="Q386" i="1"/>
  <c r="P386" i="1"/>
  <c r="O386" i="1"/>
  <c r="M386" i="1"/>
  <c r="L386" i="1"/>
  <c r="K386" i="1"/>
  <c r="J386" i="1"/>
  <c r="G386" i="1"/>
  <c r="A386" i="1"/>
  <c r="Q385" i="1"/>
  <c r="P385" i="1"/>
  <c r="O385" i="1"/>
  <c r="M385" i="1"/>
  <c r="L385" i="1"/>
  <c r="K385" i="1"/>
  <c r="J385" i="1"/>
  <c r="G385" i="1"/>
  <c r="E385" i="1"/>
  <c r="A385" i="1"/>
  <c r="Q384" i="1"/>
  <c r="P384" i="1"/>
  <c r="O384" i="1"/>
  <c r="M384" i="1"/>
  <c r="L384" i="1"/>
  <c r="K384" i="1"/>
  <c r="J384" i="1"/>
  <c r="G384" i="1"/>
  <c r="E384" i="1"/>
  <c r="A384" i="1"/>
  <c r="Q383" i="1"/>
  <c r="P383" i="1"/>
  <c r="O383" i="1"/>
  <c r="M383" i="1"/>
  <c r="L383" i="1"/>
  <c r="K383" i="1"/>
  <c r="J383" i="1"/>
  <c r="G383" i="1"/>
  <c r="E383" i="1"/>
  <c r="A383" i="1"/>
  <c r="G382" i="1"/>
  <c r="E382" i="1"/>
  <c r="A382" i="1"/>
  <c r="Q381" i="1"/>
  <c r="P381" i="1"/>
  <c r="O381" i="1"/>
  <c r="M381" i="1"/>
  <c r="L381" i="1"/>
  <c r="K381" i="1"/>
  <c r="J381" i="1"/>
  <c r="G381" i="1"/>
  <c r="A381" i="1"/>
  <c r="Q380" i="1"/>
  <c r="P380" i="1"/>
  <c r="O380" i="1"/>
  <c r="M380" i="1"/>
  <c r="L380" i="1"/>
  <c r="K380" i="1"/>
  <c r="J380" i="1"/>
  <c r="G380" i="1"/>
  <c r="E380" i="1"/>
  <c r="A380" i="1"/>
  <c r="Q379" i="1"/>
  <c r="P379" i="1"/>
  <c r="O379" i="1"/>
  <c r="M379" i="1"/>
  <c r="L379" i="1"/>
  <c r="K379" i="1"/>
  <c r="J379" i="1"/>
  <c r="G379" i="1"/>
  <c r="E379" i="1"/>
  <c r="A379" i="1"/>
  <c r="Q378" i="1"/>
  <c r="P378" i="1"/>
  <c r="O378" i="1"/>
  <c r="M378" i="1"/>
  <c r="L378" i="1"/>
  <c r="K378" i="1"/>
  <c r="J378" i="1"/>
  <c r="G378" i="1"/>
  <c r="E378" i="1"/>
  <c r="A378" i="1"/>
  <c r="G377" i="1"/>
  <c r="E377" i="1"/>
  <c r="A377" i="1"/>
  <c r="Q376" i="1"/>
  <c r="P376" i="1"/>
  <c r="O376" i="1"/>
  <c r="M376" i="1"/>
  <c r="L376" i="1"/>
  <c r="K376" i="1"/>
  <c r="J376" i="1"/>
  <c r="G376" i="1"/>
  <c r="A376" i="1"/>
  <c r="A375" i="1"/>
  <c r="A374" i="1"/>
  <c r="A373" i="1"/>
  <c r="Q372" i="1"/>
  <c r="P372" i="1"/>
  <c r="O372" i="1"/>
  <c r="M372" i="1"/>
  <c r="L372" i="1"/>
  <c r="K372" i="1"/>
  <c r="J372" i="1"/>
  <c r="G372" i="1"/>
  <c r="A372" i="1"/>
  <c r="Q371" i="1"/>
  <c r="P371" i="1"/>
  <c r="O371" i="1"/>
  <c r="M371" i="1"/>
  <c r="L371" i="1"/>
  <c r="K371" i="1"/>
  <c r="J371" i="1"/>
  <c r="G371" i="1"/>
  <c r="A371" i="1"/>
  <c r="Q370" i="1"/>
  <c r="P370" i="1"/>
  <c r="O370" i="1"/>
  <c r="M370" i="1"/>
  <c r="L370" i="1"/>
  <c r="K370" i="1"/>
  <c r="J370" i="1"/>
  <c r="G370" i="1"/>
  <c r="A370" i="1"/>
  <c r="Q369" i="1"/>
  <c r="P369" i="1"/>
  <c r="O369" i="1"/>
  <c r="M369" i="1"/>
  <c r="L369" i="1"/>
  <c r="K369" i="1"/>
  <c r="J369" i="1"/>
  <c r="G369" i="1"/>
  <c r="A369" i="1"/>
  <c r="Q368" i="1"/>
  <c r="P368" i="1"/>
  <c r="O368" i="1"/>
  <c r="M368" i="1"/>
  <c r="L368" i="1"/>
  <c r="K368" i="1"/>
  <c r="J368" i="1"/>
  <c r="G368" i="1"/>
  <c r="A368" i="1"/>
  <c r="Q367" i="1"/>
  <c r="P367" i="1"/>
  <c r="O367" i="1"/>
  <c r="M367" i="1"/>
  <c r="L367" i="1"/>
  <c r="K367" i="1"/>
  <c r="J367" i="1"/>
  <c r="G367" i="1"/>
  <c r="E367" i="1"/>
  <c r="A367" i="1"/>
  <c r="Q366" i="1"/>
  <c r="P366" i="1"/>
  <c r="O366" i="1"/>
  <c r="M366" i="1"/>
  <c r="L366" i="1"/>
  <c r="K366" i="1"/>
  <c r="J366" i="1"/>
  <c r="G366" i="1"/>
  <c r="E366" i="1"/>
  <c r="A366" i="1"/>
  <c r="Q365" i="1"/>
  <c r="P365" i="1"/>
  <c r="O365" i="1"/>
  <c r="M365" i="1"/>
  <c r="L365" i="1"/>
  <c r="K365" i="1"/>
  <c r="J365" i="1"/>
  <c r="G365" i="1"/>
  <c r="A365" i="1"/>
  <c r="Q364" i="1"/>
  <c r="P364" i="1"/>
  <c r="O364" i="1"/>
  <c r="M364" i="1"/>
  <c r="L364" i="1"/>
  <c r="K364" i="1"/>
  <c r="J364" i="1"/>
  <c r="G364" i="1"/>
  <c r="E364" i="1"/>
  <c r="A364" i="1"/>
  <c r="Q363" i="1"/>
  <c r="P363" i="1"/>
  <c r="O363" i="1"/>
  <c r="M363" i="1"/>
  <c r="L363" i="1"/>
  <c r="K363" i="1"/>
  <c r="J363" i="1"/>
  <c r="G363" i="1"/>
  <c r="E363" i="1"/>
  <c r="A363" i="1"/>
  <c r="Q362" i="1"/>
  <c r="P362" i="1"/>
  <c r="O362" i="1"/>
  <c r="M362" i="1"/>
  <c r="L362" i="1"/>
  <c r="K362" i="1"/>
  <c r="J362" i="1"/>
  <c r="G362" i="1"/>
  <c r="E362" i="1"/>
  <c r="A362" i="1"/>
  <c r="G361" i="1"/>
  <c r="E361" i="1"/>
  <c r="A361" i="1"/>
  <c r="Q360" i="1"/>
  <c r="P360" i="1"/>
  <c r="O360" i="1"/>
  <c r="M360" i="1"/>
  <c r="L360" i="1"/>
  <c r="K360" i="1"/>
  <c r="J360" i="1"/>
  <c r="G360" i="1"/>
  <c r="A360" i="1"/>
  <c r="Q359" i="1"/>
  <c r="P359" i="1"/>
  <c r="O359" i="1"/>
  <c r="M359" i="1"/>
  <c r="L359" i="1"/>
  <c r="K359" i="1"/>
  <c r="J359" i="1"/>
  <c r="G359" i="1"/>
  <c r="E359" i="1"/>
  <c r="A359" i="1"/>
  <c r="Q358" i="1"/>
  <c r="P358" i="1"/>
  <c r="O358" i="1"/>
  <c r="M358" i="1"/>
  <c r="L358" i="1"/>
  <c r="K358" i="1"/>
  <c r="J358" i="1"/>
  <c r="G358" i="1"/>
  <c r="E358" i="1"/>
  <c r="A358" i="1"/>
  <c r="Q357" i="1"/>
  <c r="P357" i="1"/>
  <c r="O357" i="1"/>
  <c r="M357" i="1"/>
  <c r="L357" i="1"/>
  <c r="K357" i="1"/>
  <c r="J357" i="1"/>
  <c r="G357" i="1"/>
  <c r="E357" i="1"/>
  <c r="A357" i="1"/>
  <c r="G356" i="1"/>
  <c r="E356" i="1"/>
  <c r="A356" i="1"/>
  <c r="Q355" i="1"/>
  <c r="P355" i="1"/>
  <c r="O355" i="1"/>
  <c r="M355" i="1"/>
  <c r="L355" i="1"/>
  <c r="K355" i="1"/>
  <c r="J355" i="1"/>
  <c r="G355" i="1"/>
  <c r="A355" i="1"/>
  <c r="Q354" i="1"/>
  <c r="P354" i="1"/>
  <c r="O354" i="1"/>
  <c r="M354" i="1"/>
  <c r="L354" i="1"/>
  <c r="K354" i="1"/>
  <c r="J354" i="1"/>
  <c r="G354" i="1"/>
  <c r="E354" i="1"/>
  <c r="A354" i="1"/>
  <c r="Q353" i="1"/>
  <c r="P353" i="1"/>
  <c r="O353" i="1"/>
  <c r="M353" i="1"/>
  <c r="L353" i="1"/>
  <c r="K353" i="1"/>
  <c r="J353" i="1"/>
  <c r="G353" i="1"/>
  <c r="E353" i="1"/>
  <c r="A353" i="1"/>
  <c r="Q352" i="1"/>
  <c r="P352" i="1"/>
  <c r="O352" i="1"/>
  <c r="M352" i="1"/>
  <c r="L352" i="1"/>
  <c r="K352" i="1"/>
  <c r="J352" i="1"/>
  <c r="G352" i="1"/>
  <c r="E352" i="1"/>
  <c r="A352" i="1"/>
  <c r="G351" i="1"/>
  <c r="E351" i="1"/>
  <c r="A351" i="1"/>
  <c r="Q350" i="1"/>
  <c r="P350" i="1"/>
  <c r="O350" i="1"/>
  <c r="M350" i="1"/>
  <c r="L350" i="1"/>
  <c r="K350" i="1"/>
  <c r="J350" i="1"/>
  <c r="G350" i="1"/>
  <c r="A350" i="1"/>
  <c r="Q349" i="1"/>
  <c r="P349" i="1"/>
  <c r="O349" i="1"/>
  <c r="M349" i="1"/>
  <c r="L349" i="1"/>
  <c r="K349" i="1"/>
  <c r="J349" i="1"/>
  <c r="G349" i="1"/>
  <c r="E349" i="1"/>
  <c r="A349" i="1"/>
  <c r="G348" i="1"/>
  <c r="E348" i="1"/>
  <c r="A348" i="1"/>
  <c r="Q347" i="1"/>
  <c r="P347" i="1"/>
  <c r="O347" i="1"/>
  <c r="N347" i="1"/>
  <c r="M347" i="1"/>
  <c r="L347" i="1"/>
  <c r="K347" i="1"/>
  <c r="J347" i="1"/>
  <c r="G347" i="1"/>
  <c r="A347" i="1"/>
  <c r="A346" i="1"/>
  <c r="A345" i="1"/>
  <c r="Q344" i="1"/>
  <c r="P344" i="1"/>
  <c r="O344" i="1"/>
  <c r="M344" i="1"/>
  <c r="L344" i="1"/>
  <c r="K344" i="1"/>
  <c r="J344" i="1"/>
  <c r="A344" i="1"/>
  <c r="Q343" i="1"/>
  <c r="P343" i="1"/>
  <c r="O343" i="1"/>
  <c r="M343" i="1"/>
  <c r="L343" i="1"/>
  <c r="K343" i="1"/>
  <c r="J343" i="1"/>
  <c r="A343" i="1"/>
  <c r="Q342" i="1"/>
  <c r="P342" i="1"/>
  <c r="O342" i="1"/>
  <c r="M342" i="1"/>
  <c r="L342" i="1"/>
  <c r="K342" i="1"/>
  <c r="J342" i="1"/>
  <c r="A342" i="1"/>
  <c r="A341" i="1"/>
  <c r="A340" i="1"/>
  <c r="Q339" i="1"/>
  <c r="P339" i="1"/>
  <c r="O339" i="1"/>
  <c r="M339" i="1"/>
  <c r="L339" i="1"/>
  <c r="K339" i="1"/>
  <c r="J339" i="1"/>
  <c r="G339" i="1"/>
  <c r="E339" i="1"/>
  <c r="A339" i="1"/>
  <c r="Q338" i="1"/>
  <c r="P338" i="1"/>
  <c r="O338" i="1"/>
  <c r="M338" i="1"/>
  <c r="L338" i="1"/>
  <c r="K338" i="1"/>
  <c r="J338" i="1"/>
  <c r="G338" i="1"/>
  <c r="E338" i="1"/>
  <c r="A338" i="1"/>
  <c r="Q337" i="1"/>
  <c r="P337" i="1"/>
  <c r="O337" i="1"/>
  <c r="M337" i="1"/>
  <c r="L337" i="1"/>
  <c r="K337" i="1"/>
  <c r="J337" i="1"/>
  <c r="G337" i="1"/>
  <c r="E337" i="1"/>
  <c r="A337" i="1"/>
  <c r="A336" i="1"/>
  <c r="A335" i="1"/>
  <c r="A334" i="1"/>
  <c r="A333" i="1"/>
  <c r="A332" i="1"/>
  <c r="Q331" i="1"/>
  <c r="A331" i="1"/>
  <c r="A330" i="1"/>
  <c r="Q329" i="1"/>
  <c r="P329" i="1"/>
  <c r="O329" i="1"/>
  <c r="M329" i="1"/>
  <c r="L329" i="1"/>
  <c r="K329" i="1"/>
  <c r="J329" i="1"/>
  <c r="G329" i="1"/>
  <c r="A329" i="1"/>
  <c r="A328" i="1"/>
  <c r="A327" i="1"/>
  <c r="Q326" i="1"/>
  <c r="P326" i="1"/>
  <c r="O326" i="1"/>
  <c r="N326" i="1"/>
  <c r="M326" i="1"/>
  <c r="L326" i="1"/>
  <c r="K326" i="1"/>
  <c r="J326" i="1"/>
  <c r="I326" i="1"/>
  <c r="G326" i="1"/>
  <c r="A326" i="1"/>
  <c r="A325" i="1"/>
  <c r="A324" i="1"/>
  <c r="Q323" i="1"/>
  <c r="P323" i="1"/>
  <c r="O323" i="1"/>
  <c r="N323" i="1"/>
  <c r="M323" i="1"/>
  <c r="L323" i="1"/>
  <c r="K323" i="1"/>
  <c r="J323" i="1"/>
  <c r="I323" i="1"/>
  <c r="G323" i="1"/>
  <c r="A323" i="1"/>
  <c r="Q322" i="1"/>
  <c r="P322" i="1"/>
  <c r="O322" i="1"/>
  <c r="N322" i="1"/>
  <c r="M322" i="1"/>
  <c r="L322" i="1"/>
  <c r="K322" i="1"/>
  <c r="J322" i="1"/>
  <c r="I322" i="1"/>
  <c r="G322" i="1"/>
  <c r="A322" i="1"/>
  <c r="Q321" i="1"/>
  <c r="P321" i="1"/>
  <c r="O321" i="1"/>
  <c r="N321" i="1"/>
  <c r="M321" i="1"/>
  <c r="L321" i="1"/>
  <c r="K321" i="1"/>
  <c r="J321" i="1"/>
  <c r="I321" i="1"/>
  <c r="G321" i="1"/>
  <c r="A321" i="1"/>
  <c r="Q320" i="1"/>
  <c r="P320" i="1"/>
  <c r="O320" i="1"/>
  <c r="N320" i="1"/>
  <c r="M320" i="1"/>
  <c r="L320" i="1"/>
  <c r="K320" i="1"/>
  <c r="J320" i="1"/>
  <c r="I320" i="1"/>
  <c r="G320" i="1"/>
  <c r="A320" i="1"/>
  <c r="Q319" i="1"/>
  <c r="P319" i="1"/>
  <c r="O319" i="1"/>
  <c r="N319" i="1"/>
  <c r="M319" i="1"/>
  <c r="L319" i="1"/>
  <c r="K319" i="1"/>
  <c r="J319" i="1"/>
  <c r="I319" i="1"/>
  <c r="G319" i="1"/>
  <c r="A319" i="1"/>
  <c r="A318" i="1"/>
  <c r="A317" i="1"/>
  <c r="Q316" i="1"/>
  <c r="P316" i="1"/>
  <c r="O316" i="1"/>
  <c r="N316" i="1"/>
  <c r="M316" i="1"/>
  <c r="L316" i="1"/>
  <c r="K316" i="1"/>
  <c r="J316" i="1"/>
  <c r="I316" i="1"/>
  <c r="G316" i="1"/>
  <c r="A316" i="1"/>
  <c r="Q315" i="1"/>
  <c r="P315" i="1"/>
  <c r="O315" i="1"/>
  <c r="N315" i="1"/>
  <c r="M315" i="1"/>
  <c r="L315" i="1"/>
  <c r="K315" i="1"/>
  <c r="J315" i="1"/>
  <c r="I315" i="1"/>
  <c r="G315" i="1"/>
  <c r="A315" i="1"/>
  <c r="Q314" i="1"/>
  <c r="P314" i="1"/>
  <c r="O314" i="1"/>
  <c r="N314" i="1"/>
  <c r="M314" i="1"/>
  <c r="L314" i="1"/>
  <c r="K314" i="1"/>
  <c r="J314" i="1"/>
  <c r="I314" i="1"/>
  <c r="G314" i="1"/>
  <c r="A314" i="1"/>
  <c r="Q313" i="1"/>
  <c r="P313" i="1"/>
  <c r="O313" i="1"/>
  <c r="N313" i="1"/>
  <c r="M313" i="1"/>
  <c r="L313" i="1"/>
  <c r="K313" i="1"/>
  <c r="J313" i="1"/>
  <c r="I313" i="1"/>
  <c r="G313" i="1"/>
  <c r="A313" i="1"/>
  <c r="Q312" i="1"/>
  <c r="P312" i="1"/>
  <c r="O312" i="1"/>
  <c r="N312" i="1"/>
  <c r="M312" i="1"/>
  <c r="L312" i="1"/>
  <c r="K312" i="1"/>
  <c r="J312" i="1"/>
  <c r="I312" i="1"/>
  <c r="G312" i="1"/>
  <c r="A312" i="1"/>
  <c r="Q311" i="1"/>
  <c r="P311" i="1"/>
  <c r="O311" i="1"/>
  <c r="N311" i="1"/>
  <c r="M311" i="1"/>
  <c r="L311" i="1"/>
  <c r="K311" i="1"/>
  <c r="J311" i="1"/>
  <c r="I311" i="1"/>
  <c r="G311" i="1"/>
  <c r="A311" i="1"/>
  <c r="Q310" i="1"/>
  <c r="P310" i="1"/>
  <c r="O310" i="1"/>
  <c r="N310" i="1"/>
  <c r="M310" i="1"/>
  <c r="L310" i="1"/>
  <c r="K310" i="1"/>
  <c r="J310" i="1"/>
  <c r="I310" i="1"/>
  <c r="G310" i="1"/>
  <c r="A310" i="1"/>
  <c r="Q309" i="1"/>
  <c r="P309" i="1"/>
  <c r="O309" i="1"/>
  <c r="N309" i="1"/>
  <c r="M309" i="1"/>
  <c r="L309" i="1"/>
  <c r="K309" i="1"/>
  <c r="J309" i="1"/>
  <c r="I309" i="1"/>
  <c r="G309" i="1"/>
  <c r="A309" i="1"/>
  <c r="Q308" i="1"/>
  <c r="P308" i="1"/>
  <c r="O308" i="1"/>
  <c r="N308" i="1"/>
  <c r="M308" i="1"/>
  <c r="L308" i="1"/>
  <c r="K308" i="1"/>
  <c r="J308" i="1"/>
  <c r="I308" i="1"/>
  <c r="G308" i="1"/>
  <c r="A308" i="1"/>
  <c r="Q307" i="1"/>
  <c r="P307" i="1"/>
  <c r="O307" i="1"/>
  <c r="N307" i="1"/>
  <c r="M307" i="1"/>
  <c r="L307" i="1"/>
  <c r="K307" i="1"/>
  <c r="J307" i="1"/>
  <c r="I307" i="1"/>
  <c r="G307" i="1"/>
  <c r="A307" i="1"/>
  <c r="Q306" i="1"/>
  <c r="P306" i="1"/>
  <c r="O306" i="1"/>
  <c r="N306" i="1"/>
  <c r="M306" i="1"/>
  <c r="L306" i="1"/>
  <c r="K306" i="1"/>
  <c r="J306" i="1"/>
  <c r="I306" i="1"/>
  <c r="G306" i="1"/>
  <c r="A306" i="1"/>
  <c r="A305" i="1"/>
  <c r="A304" i="1"/>
  <c r="Q303" i="1"/>
  <c r="P303" i="1"/>
  <c r="O303" i="1"/>
  <c r="M303" i="1"/>
  <c r="L303" i="1"/>
  <c r="K303" i="1"/>
  <c r="J303" i="1"/>
  <c r="G303" i="1"/>
  <c r="E303" i="1"/>
  <c r="A303" i="1"/>
  <c r="A302" i="1"/>
  <c r="Q300" i="1"/>
  <c r="P300" i="1"/>
  <c r="O300" i="1"/>
  <c r="N300" i="1"/>
  <c r="M300" i="1"/>
  <c r="L300" i="1"/>
  <c r="K300" i="1"/>
  <c r="J300" i="1"/>
  <c r="I300" i="1"/>
  <c r="G300" i="1"/>
  <c r="A300" i="1"/>
  <c r="Q299" i="1"/>
  <c r="P299" i="1"/>
  <c r="O299" i="1"/>
  <c r="N299" i="1"/>
  <c r="M299" i="1"/>
  <c r="L299" i="1"/>
  <c r="K299" i="1"/>
  <c r="J299" i="1"/>
  <c r="I299" i="1"/>
  <c r="G299" i="1"/>
  <c r="A299" i="1"/>
  <c r="Q298" i="1"/>
  <c r="P298" i="1"/>
  <c r="O298" i="1"/>
  <c r="N298" i="1"/>
  <c r="M298" i="1"/>
  <c r="L298" i="1"/>
  <c r="K298" i="1"/>
  <c r="J298" i="1"/>
  <c r="I298" i="1"/>
  <c r="G298" i="1"/>
  <c r="A298" i="1"/>
  <c r="Q297" i="1"/>
  <c r="P297" i="1"/>
  <c r="O297" i="1"/>
  <c r="N297" i="1"/>
  <c r="M297" i="1"/>
  <c r="L297" i="1"/>
  <c r="K297" i="1"/>
  <c r="J297" i="1"/>
  <c r="I297" i="1"/>
  <c r="G297" i="1"/>
  <c r="A297" i="1"/>
  <c r="Q296" i="1"/>
  <c r="P296" i="1"/>
  <c r="O296" i="1"/>
  <c r="N296" i="1"/>
  <c r="M296" i="1"/>
  <c r="L296" i="1"/>
  <c r="K296" i="1"/>
  <c r="J296" i="1"/>
  <c r="I296" i="1"/>
  <c r="G296" i="1"/>
  <c r="A296" i="1"/>
  <c r="Q295" i="1"/>
  <c r="P295" i="1"/>
  <c r="O295" i="1"/>
  <c r="N295" i="1"/>
  <c r="M295" i="1"/>
  <c r="L295" i="1"/>
  <c r="K295" i="1"/>
  <c r="J295" i="1"/>
  <c r="I295" i="1"/>
  <c r="G295" i="1"/>
  <c r="A295" i="1"/>
  <c r="Q294" i="1"/>
  <c r="P294" i="1"/>
  <c r="O294" i="1"/>
  <c r="N294" i="1"/>
  <c r="M294" i="1"/>
  <c r="L294" i="1"/>
  <c r="K294" i="1"/>
  <c r="J294" i="1"/>
  <c r="I294" i="1"/>
  <c r="G294" i="1"/>
  <c r="A294" i="1"/>
  <c r="Q293" i="1"/>
  <c r="P293" i="1"/>
  <c r="O293" i="1"/>
  <c r="N293" i="1"/>
  <c r="M293" i="1"/>
  <c r="L293" i="1"/>
  <c r="K293" i="1"/>
  <c r="J293" i="1"/>
  <c r="I293" i="1"/>
  <c r="G293" i="1"/>
  <c r="A293" i="1"/>
  <c r="Q292" i="1"/>
  <c r="P292" i="1"/>
  <c r="O292" i="1"/>
  <c r="N292" i="1"/>
  <c r="M292" i="1"/>
  <c r="L292" i="1"/>
  <c r="K292" i="1"/>
  <c r="J292" i="1"/>
  <c r="I292" i="1"/>
  <c r="G292" i="1"/>
  <c r="A292" i="1"/>
  <c r="Q291" i="1"/>
  <c r="P291" i="1"/>
  <c r="O291" i="1"/>
  <c r="N291" i="1"/>
  <c r="M291" i="1"/>
  <c r="L291" i="1"/>
  <c r="K291" i="1"/>
  <c r="J291" i="1"/>
  <c r="I291" i="1"/>
  <c r="G291" i="1"/>
  <c r="A291" i="1"/>
  <c r="Q290" i="1"/>
  <c r="P290" i="1"/>
  <c r="O290" i="1"/>
  <c r="N290" i="1"/>
  <c r="M290" i="1"/>
  <c r="L290" i="1"/>
  <c r="K290" i="1"/>
  <c r="J290" i="1"/>
  <c r="I290" i="1"/>
  <c r="G290" i="1"/>
  <c r="A290" i="1"/>
  <c r="Q289" i="1"/>
  <c r="P289" i="1"/>
  <c r="O289" i="1"/>
  <c r="N289" i="1"/>
  <c r="M289" i="1"/>
  <c r="L289" i="1"/>
  <c r="K289" i="1"/>
  <c r="J289" i="1"/>
  <c r="I289" i="1"/>
  <c r="G289" i="1"/>
  <c r="A289" i="1"/>
  <c r="Q288" i="1"/>
  <c r="P288" i="1"/>
  <c r="O288" i="1"/>
  <c r="N288" i="1"/>
  <c r="M288" i="1"/>
  <c r="L288" i="1"/>
  <c r="K288" i="1"/>
  <c r="J288" i="1"/>
  <c r="I288" i="1"/>
  <c r="G288" i="1"/>
  <c r="A288" i="1"/>
  <c r="Q287" i="1"/>
  <c r="P287" i="1"/>
  <c r="O287" i="1"/>
  <c r="N287" i="1"/>
  <c r="M287" i="1"/>
  <c r="L287" i="1"/>
  <c r="K287" i="1"/>
  <c r="J287" i="1"/>
  <c r="I287" i="1"/>
  <c r="G287" i="1"/>
  <c r="A287" i="1"/>
  <c r="Q286" i="1"/>
  <c r="P286" i="1"/>
  <c r="O286" i="1"/>
  <c r="N286" i="1"/>
  <c r="M286" i="1"/>
  <c r="L286" i="1"/>
  <c r="K286" i="1"/>
  <c r="J286" i="1"/>
  <c r="I286" i="1"/>
  <c r="G286" i="1"/>
  <c r="A286" i="1"/>
  <c r="Q285" i="1"/>
  <c r="P285" i="1"/>
  <c r="O285" i="1"/>
  <c r="N285" i="1"/>
  <c r="M285" i="1"/>
  <c r="L285" i="1"/>
  <c r="K285" i="1"/>
  <c r="J285" i="1"/>
  <c r="I285" i="1"/>
  <c r="G285" i="1"/>
  <c r="A285" i="1"/>
  <c r="Q284" i="1"/>
  <c r="P284" i="1"/>
  <c r="O284" i="1"/>
  <c r="N284" i="1"/>
  <c r="M284" i="1"/>
  <c r="L284" i="1"/>
  <c r="K284" i="1"/>
  <c r="J284" i="1"/>
  <c r="I284" i="1"/>
  <c r="G284" i="1"/>
  <c r="A284" i="1"/>
  <c r="Q283" i="1"/>
  <c r="P283" i="1"/>
  <c r="O283" i="1"/>
  <c r="N283" i="1"/>
  <c r="M283" i="1"/>
  <c r="L283" i="1"/>
  <c r="K283" i="1"/>
  <c r="J283" i="1"/>
  <c r="I283" i="1"/>
  <c r="G283" i="1"/>
  <c r="A283" i="1"/>
  <c r="Q282" i="1"/>
  <c r="P282" i="1"/>
  <c r="O282" i="1"/>
  <c r="N282" i="1"/>
  <c r="M282" i="1"/>
  <c r="L282" i="1"/>
  <c r="K282" i="1"/>
  <c r="J282" i="1"/>
  <c r="I282" i="1"/>
  <c r="G282" i="1"/>
  <c r="A282" i="1"/>
  <c r="Q281" i="1"/>
  <c r="P281" i="1"/>
  <c r="O281" i="1"/>
  <c r="N281" i="1"/>
  <c r="M281" i="1"/>
  <c r="L281" i="1"/>
  <c r="K281" i="1"/>
  <c r="J281" i="1"/>
  <c r="I281" i="1"/>
  <c r="G281" i="1"/>
  <c r="A281" i="1"/>
  <c r="Q280" i="1"/>
  <c r="P280" i="1"/>
  <c r="O280" i="1"/>
  <c r="N280" i="1"/>
  <c r="M280" i="1"/>
  <c r="L280" i="1"/>
  <c r="K280" i="1"/>
  <c r="J280" i="1"/>
  <c r="I280" i="1"/>
  <c r="G280" i="1"/>
  <c r="A280" i="1"/>
  <c r="Q279" i="1"/>
  <c r="P279" i="1"/>
  <c r="O279" i="1"/>
  <c r="N279" i="1"/>
  <c r="M279" i="1"/>
  <c r="L279" i="1"/>
  <c r="K279" i="1"/>
  <c r="J279" i="1"/>
  <c r="I279" i="1"/>
  <c r="G279" i="1"/>
  <c r="A279" i="1"/>
  <c r="Q278" i="1"/>
  <c r="P278" i="1"/>
  <c r="O278" i="1"/>
  <c r="N278" i="1"/>
  <c r="M278" i="1"/>
  <c r="L278" i="1"/>
  <c r="K278" i="1"/>
  <c r="J278" i="1"/>
  <c r="I278" i="1"/>
  <c r="G278" i="1"/>
  <c r="A278" i="1"/>
  <c r="Q277" i="1"/>
  <c r="P277" i="1"/>
  <c r="O277" i="1"/>
  <c r="N277" i="1"/>
  <c r="M277" i="1"/>
  <c r="L277" i="1"/>
  <c r="K277" i="1"/>
  <c r="J277" i="1"/>
  <c r="I277" i="1"/>
  <c r="G277" i="1"/>
  <c r="A277" i="1"/>
  <c r="Q276" i="1"/>
  <c r="P276" i="1"/>
  <c r="O276" i="1"/>
  <c r="N276" i="1"/>
  <c r="M276" i="1"/>
  <c r="L276" i="1"/>
  <c r="K276" i="1"/>
  <c r="J276" i="1"/>
  <c r="I276" i="1"/>
  <c r="G276" i="1"/>
  <c r="A276" i="1"/>
  <c r="Q275" i="1"/>
  <c r="P275" i="1"/>
  <c r="O275" i="1"/>
  <c r="N275" i="1"/>
  <c r="M275" i="1"/>
  <c r="L275" i="1"/>
  <c r="K275" i="1"/>
  <c r="J275" i="1"/>
  <c r="I275" i="1"/>
  <c r="G275" i="1"/>
  <c r="A275" i="1"/>
  <c r="Q274" i="1"/>
  <c r="P274" i="1"/>
  <c r="O274" i="1"/>
  <c r="N274" i="1"/>
  <c r="M274" i="1"/>
  <c r="L274" i="1"/>
  <c r="K274" i="1"/>
  <c r="J274" i="1"/>
  <c r="I274" i="1"/>
  <c r="G274" i="1"/>
  <c r="A274" i="1"/>
  <c r="Q273" i="1"/>
  <c r="P273" i="1"/>
  <c r="O273" i="1"/>
  <c r="N273" i="1"/>
  <c r="M273" i="1"/>
  <c r="L273" i="1"/>
  <c r="K273" i="1"/>
  <c r="J273" i="1"/>
  <c r="I273" i="1"/>
  <c r="G273" i="1"/>
  <c r="A273" i="1"/>
  <c r="Q272" i="1"/>
  <c r="P272" i="1"/>
  <c r="O272" i="1"/>
  <c r="N272" i="1"/>
  <c r="M272" i="1"/>
  <c r="L272" i="1"/>
  <c r="K272" i="1"/>
  <c r="J272" i="1"/>
  <c r="I272" i="1"/>
  <c r="G272" i="1"/>
  <c r="A272" i="1"/>
  <c r="A271" i="1"/>
  <c r="A270" i="1"/>
  <c r="A269" i="1"/>
  <c r="Q268" i="1"/>
  <c r="A268" i="1"/>
  <c r="A267" i="1"/>
  <c r="Q266" i="1"/>
  <c r="P266" i="1"/>
  <c r="O266" i="1"/>
  <c r="M266" i="1"/>
  <c r="L266" i="1"/>
  <c r="K266" i="1"/>
  <c r="J266" i="1"/>
  <c r="G266" i="1"/>
  <c r="A266" i="1"/>
  <c r="Q265" i="1"/>
  <c r="P265" i="1"/>
  <c r="O265" i="1"/>
  <c r="M265" i="1"/>
  <c r="L265" i="1"/>
  <c r="K265" i="1"/>
  <c r="J265" i="1"/>
  <c r="G265" i="1"/>
  <c r="A265" i="1"/>
  <c r="Q264" i="1"/>
  <c r="P264" i="1"/>
  <c r="O264" i="1"/>
  <c r="M264" i="1"/>
  <c r="L264" i="1"/>
  <c r="K264" i="1"/>
  <c r="J264" i="1"/>
  <c r="G264" i="1"/>
  <c r="A264" i="1"/>
  <c r="Q263" i="1"/>
  <c r="P263" i="1"/>
  <c r="O263" i="1"/>
  <c r="M263" i="1"/>
  <c r="L263" i="1"/>
  <c r="K263" i="1"/>
  <c r="J263" i="1"/>
  <c r="G263" i="1"/>
  <c r="A263" i="1"/>
  <c r="Q262" i="1"/>
  <c r="P262" i="1"/>
  <c r="O262" i="1"/>
  <c r="M262" i="1"/>
  <c r="L262" i="1"/>
  <c r="K262" i="1"/>
  <c r="J262" i="1"/>
  <c r="G262" i="1"/>
  <c r="A262" i="1"/>
  <c r="Q261" i="1"/>
  <c r="P261" i="1"/>
  <c r="O261" i="1"/>
  <c r="M261" i="1"/>
  <c r="L261" i="1"/>
  <c r="K261" i="1"/>
  <c r="J261" i="1"/>
  <c r="G261" i="1"/>
  <c r="A261" i="1"/>
  <c r="A260" i="1"/>
  <c r="Q258" i="1"/>
  <c r="P258" i="1"/>
  <c r="O258" i="1"/>
  <c r="M258" i="1"/>
  <c r="L258" i="1"/>
  <c r="K258" i="1"/>
  <c r="J258" i="1"/>
  <c r="G258" i="1"/>
  <c r="A258" i="1"/>
  <c r="Q257" i="1"/>
  <c r="P257" i="1"/>
  <c r="O257" i="1"/>
  <c r="M257" i="1"/>
  <c r="L257" i="1"/>
  <c r="K257" i="1"/>
  <c r="J257" i="1"/>
  <c r="G257" i="1"/>
  <c r="A257" i="1"/>
  <c r="Q256" i="1"/>
  <c r="P256" i="1"/>
  <c r="O256" i="1"/>
  <c r="M256" i="1"/>
  <c r="L256" i="1"/>
  <c r="K256" i="1"/>
  <c r="J256" i="1"/>
  <c r="G256" i="1"/>
  <c r="A256" i="1"/>
  <c r="A255" i="1"/>
  <c r="Q253" i="1"/>
  <c r="P253" i="1"/>
  <c r="O253" i="1"/>
  <c r="M253" i="1"/>
  <c r="L253" i="1"/>
  <c r="K253" i="1"/>
  <c r="J253" i="1"/>
  <c r="G253" i="1"/>
  <c r="A253" i="1"/>
  <c r="Q252" i="1"/>
  <c r="P252" i="1"/>
  <c r="O252" i="1"/>
  <c r="M252" i="1"/>
  <c r="L252" i="1"/>
  <c r="K252" i="1"/>
  <c r="J252" i="1"/>
  <c r="G252" i="1"/>
  <c r="A252" i="1"/>
  <c r="Q251" i="1"/>
  <c r="P251" i="1"/>
  <c r="O251" i="1"/>
  <c r="M251" i="1"/>
  <c r="L251" i="1"/>
  <c r="K251" i="1"/>
  <c r="J251" i="1"/>
  <c r="G251" i="1"/>
  <c r="A251" i="1"/>
  <c r="Q250" i="1"/>
  <c r="P250" i="1"/>
  <c r="O250" i="1"/>
  <c r="M250" i="1"/>
  <c r="L250" i="1"/>
  <c r="K250" i="1"/>
  <c r="J250" i="1"/>
  <c r="G250" i="1"/>
  <c r="A250" i="1"/>
  <c r="A249" i="1"/>
  <c r="A248" i="1"/>
  <c r="Q246" i="1"/>
  <c r="P246" i="1"/>
  <c r="O246" i="1"/>
  <c r="M246" i="1"/>
  <c r="L246" i="1"/>
  <c r="K246" i="1"/>
  <c r="J246" i="1"/>
  <c r="G246" i="1"/>
  <c r="A246" i="1"/>
  <c r="A245" i="1"/>
  <c r="Q244" i="1"/>
  <c r="P244" i="1"/>
  <c r="O244" i="1"/>
  <c r="M244" i="1"/>
  <c r="L244" i="1"/>
  <c r="K244" i="1"/>
  <c r="J244" i="1"/>
  <c r="G244" i="1"/>
  <c r="A244" i="1"/>
  <c r="A243" i="1"/>
  <c r="A242" i="1"/>
  <c r="A241" i="1"/>
  <c r="A240" i="1"/>
  <c r="Q239" i="1"/>
  <c r="A239" i="1"/>
  <c r="A238" i="1"/>
  <c r="Q237" i="1"/>
  <c r="P237" i="1"/>
  <c r="O237" i="1"/>
  <c r="M237" i="1"/>
  <c r="L237" i="1"/>
  <c r="K237" i="1"/>
  <c r="J237" i="1"/>
  <c r="G237" i="1"/>
  <c r="A237" i="1"/>
  <c r="Q236" i="1"/>
  <c r="P236" i="1"/>
  <c r="O236" i="1"/>
  <c r="M236" i="1"/>
  <c r="L236" i="1"/>
  <c r="K236" i="1"/>
  <c r="J236" i="1"/>
  <c r="G236" i="1"/>
  <c r="A236" i="1"/>
  <c r="Q235" i="1"/>
  <c r="P235" i="1"/>
  <c r="O235" i="1"/>
  <c r="M235" i="1"/>
  <c r="L235" i="1"/>
  <c r="K235" i="1"/>
  <c r="J235" i="1"/>
  <c r="G235" i="1"/>
  <c r="A235" i="1"/>
  <c r="Q234" i="1"/>
  <c r="P234" i="1"/>
  <c r="O234" i="1"/>
  <c r="M234" i="1"/>
  <c r="L234" i="1"/>
  <c r="K234" i="1"/>
  <c r="J234" i="1"/>
  <c r="G234" i="1"/>
  <c r="A234" i="1"/>
  <c r="Q233" i="1"/>
  <c r="P233" i="1"/>
  <c r="O233" i="1"/>
  <c r="M233" i="1"/>
  <c r="L233" i="1"/>
  <c r="K233" i="1"/>
  <c r="J233" i="1"/>
  <c r="G233" i="1"/>
  <c r="A233" i="1"/>
  <c r="Q232" i="1"/>
  <c r="P232" i="1"/>
  <c r="O232" i="1"/>
  <c r="M232" i="1"/>
  <c r="L232" i="1"/>
  <c r="K232" i="1"/>
  <c r="J232" i="1"/>
  <c r="G232" i="1"/>
  <c r="A232" i="1"/>
  <c r="Q231" i="1"/>
  <c r="P231" i="1"/>
  <c r="O231" i="1"/>
  <c r="M231" i="1"/>
  <c r="L231" i="1"/>
  <c r="K231" i="1"/>
  <c r="J231" i="1"/>
  <c r="G231" i="1"/>
  <c r="A231" i="1"/>
  <c r="Q230" i="1"/>
  <c r="P230" i="1"/>
  <c r="O230" i="1"/>
  <c r="M230" i="1"/>
  <c r="L230" i="1"/>
  <c r="K230" i="1"/>
  <c r="J230" i="1"/>
  <c r="G230" i="1"/>
  <c r="A230" i="1"/>
  <c r="Q229" i="1"/>
  <c r="P229" i="1"/>
  <c r="O229" i="1"/>
  <c r="M229" i="1"/>
  <c r="L229" i="1"/>
  <c r="K229" i="1"/>
  <c r="J229" i="1"/>
  <c r="G229" i="1"/>
  <c r="A229" i="1"/>
  <c r="Q228" i="1"/>
  <c r="P228" i="1"/>
  <c r="O228" i="1"/>
  <c r="M228" i="1"/>
  <c r="L228" i="1"/>
  <c r="K228" i="1"/>
  <c r="J228" i="1"/>
  <c r="G228" i="1"/>
  <c r="A228" i="1"/>
  <c r="Q227" i="1"/>
  <c r="P227" i="1"/>
  <c r="O227" i="1"/>
  <c r="M227" i="1"/>
  <c r="L227" i="1"/>
  <c r="K227" i="1"/>
  <c r="J227" i="1"/>
  <c r="G227" i="1"/>
  <c r="A227" i="1"/>
  <c r="Q226" i="1"/>
  <c r="P226" i="1"/>
  <c r="O226" i="1"/>
  <c r="M226" i="1"/>
  <c r="L226" i="1"/>
  <c r="K226" i="1"/>
  <c r="J226" i="1"/>
  <c r="G226" i="1"/>
  <c r="A226" i="1"/>
  <c r="Q225" i="1"/>
  <c r="P225" i="1"/>
  <c r="O225" i="1"/>
  <c r="M225" i="1"/>
  <c r="L225" i="1"/>
  <c r="K225" i="1"/>
  <c r="J225" i="1"/>
  <c r="G225" i="1"/>
  <c r="A225" i="1"/>
  <c r="Q224" i="1"/>
  <c r="P224" i="1"/>
  <c r="O224" i="1"/>
  <c r="M224" i="1"/>
  <c r="L224" i="1"/>
  <c r="K224" i="1"/>
  <c r="J224" i="1"/>
  <c r="G224" i="1"/>
  <c r="A224" i="1"/>
  <c r="Q223" i="1"/>
  <c r="P223" i="1"/>
  <c r="O223" i="1"/>
  <c r="M223" i="1"/>
  <c r="L223" i="1"/>
  <c r="K223" i="1"/>
  <c r="J223" i="1"/>
  <c r="G223" i="1"/>
  <c r="A223" i="1"/>
  <c r="Q222" i="1"/>
  <c r="P222" i="1"/>
  <c r="O222" i="1"/>
  <c r="M222" i="1"/>
  <c r="L222" i="1"/>
  <c r="K222" i="1"/>
  <c r="J222" i="1"/>
  <c r="G222" i="1"/>
  <c r="A222" i="1"/>
  <c r="Q221" i="1"/>
  <c r="P221" i="1"/>
  <c r="O221" i="1"/>
  <c r="M221" i="1"/>
  <c r="L221" i="1"/>
  <c r="K221" i="1"/>
  <c r="J221" i="1"/>
  <c r="G221" i="1"/>
  <c r="A221" i="1"/>
  <c r="Q220" i="1"/>
  <c r="P220" i="1"/>
  <c r="O220" i="1"/>
  <c r="M220" i="1"/>
  <c r="L220" i="1"/>
  <c r="K220" i="1"/>
  <c r="J220" i="1"/>
  <c r="G220" i="1"/>
  <c r="A220" i="1"/>
  <c r="A219" i="1"/>
  <c r="A218" i="1"/>
  <c r="A217" i="1"/>
  <c r="Q216" i="1"/>
  <c r="P216" i="1"/>
  <c r="O216" i="1"/>
  <c r="M216" i="1"/>
  <c r="L216" i="1"/>
  <c r="K216" i="1"/>
  <c r="J216" i="1"/>
  <c r="G216" i="1"/>
  <c r="A216" i="1"/>
  <c r="Q215" i="1"/>
  <c r="P215" i="1"/>
  <c r="O215" i="1"/>
  <c r="M215" i="1"/>
  <c r="L215" i="1"/>
  <c r="K215" i="1"/>
  <c r="J215" i="1"/>
  <c r="G215" i="1"/>
  <c r="A215" i="1"/>
  <c r="Q214" i="1"/>
  <c r="P214" i="1"/>
  <c r="O214" i="1"/>
  <c r="M214" i="1"/>
  <c r="L214" i="1"/>
  <c r="K214" i="1"/>
  <c r="J214" i="1"/>
  <c r="G214" i="1"/>
  <c r="A214" i="1"/>
  <c r="G213" i="1"/>
  <c r="A213" i="1"/>
  <c r="Q212" i="1"/>
  <c r="P212" i="1"/>
  <c r="O212" i="1"/>
  <c r="M212" i="1"/>
  <c r="L212" i="1"/>
  <c r="K212" i="1"/>
  <c r="J212" i="1"/>
  <c r="G212" i="1"/>
  <c r="A212" i="1"/>
  <c r="Q211" i="1"/>
  <c r="P211" i="1"/>
  <c r="O211" i="1"/>
  <c r="M211" i="1"/>
  <c r="L211" i="1"/>
  <c r="K211" i="1"/>
  <c r="J211" i="1"/>
  <c r="G211" i="1"/>
  <c r="A211" i="1"/>
  <c r="A210" i="1"/>
  <c r="A209" i="1"/>
  <c r="Q208" i="1"/>
  <c r="P208" i="1"/>
  <c r="O208" i="1"/>
  <c r="M208" i="1"/>
  <c r="L208" i="1"/>
  <c r="K208" i="1"/>
  <c r="J208" i="1"/>
  <c r="G208" i="1"/>
  <c r="A208" i="1"/>
  <c r="Q207" i="1"/>
  <c r="P207" i="1"/>
  <c r="O207" i="1"/>
  <c r="M207" i="1"/>
  <c r="L207" i="1"/>
  <c r="K207" i="1"/>
  <c r="J207" i="1"/>
  <c r="G207" i="1"/>
  <c r="A207" i="1"/>
  <c r="Q206" i="1"/>
  <c r="P206" i="1"/>
  <c r="O206" i="1"/>
  <c r="M206" i="1"/>
  <c r="L206" i="1"/>
  <c r="K206" i="1"/>
  <c r="J206" i="1"/>
  <c r="G206" i="1"/>
  <c r="A206" i="1"/>
  <c r="A205" i="1"/>
  <c r="A204" i="1"/>
  <c r="Q203" i="1"/>
  <c r="P203" i="1"/>
  <c r="O203" i="1"/>
  <c r="N203" i="1"/>
  <c r="M203" i="1"/>
  <c r="L203" i="1"/>
  <c r="K203" i="1"/>
  <c r="J203" i="1"/>
  <c r="I203" i="1"/>
  <c r="G203" i="1"/>
  <c r="A203" i="1"/>
  <c r="Q202" i="1"/>
  <c r="P202" i="1"/>
  <c r="O202" i="1"/>
  <c r="N202" i="1"/>
  <c r="M202" i="1"/>
  <c r="L202" i="1"/>
  <c r="K202" i="1"/>
  <c r="J202" i="1"/>
  <c r="I202" i="1"/>
  <c r="G202" i="1"/>
  <c r="A202" i="1"/>
  <c r="Q201" i="1"/>
  <c r="P201" i="1"/>
  <c r="O201" i="1"/>
  <c r="N201" i="1"/>
  <c r="M201" i="1"/>
  <c r="L201" i="1"/>
  <c r="K201" i="1"/>
  <c r="J201" i="1"/>
  <c r="I201" i="1"/>
  <c r="G201" i="1"/>
  <c r="A201" i="1"/>
  <c r="Q200" i="1"/>
  <c r="P200" i="1"/>
  <c r="O200" i="1"/>
  <c r="N200" i="1"/>
  <c r="M200" i="1"/>
  <c r="L200" i="1"/>
  <c r="K200" i="1"/>
  <c r="J200" i="1"/>
  <c r="I200" i="1"/>
  <c r="G200" i="1"/>
  <c r="A200" i="1"/>
  <c r="Q199" i="1"/>
  <c r="P199" i="1"/>
  <c r="O199" i="1"/>
  <c r="N199" i="1"/>
  <c r="M199" i="1"/>
  <c r="L199" i="1"/>
  <c r="K199" i="1"/>
  <c r="J199" i="1"/>
  <c r="I199" i="1"/>
  <c r="G199" i="1"/>
  <c r="A199" i="1"/>
  <c r="A198" i="1"/>
  <c r="A197" i="1"/>
  <c r="Q196" i="1"/>
  <c r="P196" i="1"/>
  <c r="O196" i="1"/>
  <c r="M196" i="1"/>
  <c r="L196" i="1"/>
  <c r="K196" i="1"/>
  <c r="J196" i="1"/>
  <c r="G196" i="1"/>
  <c r="A196" i="1"/>
  <c r="A195" i="1"/>
  <c r="A194" i="1"/>
  <c r="Q193" i="1"/>
  <c r="P193" i="1"/>
  <c r="O193" i="1"/>
  <c r="M193" i="1"/>
  <c r="L193" i="1"/>
  <c r="K193" i="1"/>
  <c r="J193" i="1"/>
  <c r="G193" i="1"/>
  <c r="A193" i="1"/>
  <c r="Q192" i="1"/>
  <c r="P192" i="1"/>
  <c r="O192" i="1"/>
  <c r="M192" i="1"/>
  <c r="L192" i="1"/>
  <c r="K192" i="1"/>
  <c r="J192" i="1"/>
  <c r="G192" i="1"/>
  <c r="A192" i="1"/>
  <c r="Q191" i="1"/>
  <c r="P191" i="1"/>
  <c r="O191" i="1"/>
  <c r="M191" i="1"/>
  <c r="L191" i="1"/>
  <c r="K191" i="1"/>
  <c r="J191" i="1"/>
  <c r="G191" i="1"/>
  <c r="A191" i="1"/>
  <c r="A190" i="1"/>
  <c r="A189" i="1"/>
  <c r="Q188" i="1"/>
  <c r="P188" i="1"/>
  <c r="O188" i="1"/>
  <c r="M188" i="1"/>
  <c r="L188" i="1"/>
  <c r="K188" i="1"/>
  <c r="J188" i="1"/>
  <c r="G188" i="1"/>
  <c r="E188" i="1"/>
  <c r="A188" i="1"/>
  <c r="G187" i="1"/>
  <c r="E187" i="1"/>
  <c r="A187" i="1"/>
  <c r="Q186" i="1"/>
  <c r="P186" i="1"/>
  <c r="O186" i="1"/>
  <c r="N186" i="1"/>
  <c r="M186" i="1"/>
  <c r="L186" i="1"/>
  <c r="K186" i="1"/>
  <c r="J186" i="1"/>
  <c r="G186" i="1"/>
  <c r="A186" i="1"/>
  <c r="Q185" i="1"/>
  <c r="P185" i="1"/>
  <c r="O185" i="1"/>
  <c r="M185" i="1"/>
  <c r="L185" i="1"/>
  <c r="K185" i="1"/>
  <c r="J185" i="1"/>
  <c r="G185" i="1"/>
  <c r="E185" i="1"/>
  <c r="A185" i="1"/>
  <c r="G184" i="1"/>
  <c r="E184" i="1"/>
  <c r="A184" i="1"/>
  <c r="Q183" i="1"/>
  <c r="P183" i="1"/>
  <c r="O183" i="1"/>
  <c r="N183" i="1"/>
  <c r="M183" i="1"/>
  <c r="L183" i="1"/>
  <c r="K183" i="1"/>
  <c r="J183" i="1"/>
  <c r="G183" i="1"/>
  <c r="A183" i="1"/>
  <c r="A182" i="1"/>
  <c r="A181" i="1"/>
  <c r="Q180" i="1"/>
  <c r="P180" i="1"/>
  <c r="O180" i="1"/>
  <c r="M180" i="1"/>
  <c r="L180" i="1"/>
  <c r="K180" i="1"/>
  <c r="J180" i="1"/>
  <c r="G180" i="1"/>
  <c r="A180" i="1"/>
  <c r="A179" i="1"/>
  <c r="A178" i="1"/>
  <c r="Q177" i="1"/>
  <c r="P177" i="1"/>
  <c r="O177" i="1"/>
  <c r="M177" i="1"/>
  <c r="L177" i="1"/>
  <c r="K177" i="1"/>
  <c r="J177" i="1"/>
  <c r="G177" i="1"/>
  <c r="A177" i="1"/>
  <c r="A176" i="1"/>
  <c r="A175" i="1"/>
  <c r="Q174" i="1"/>
  <c r="P174" i="1"/>
  <c r="O174" i="1"/>
  <c r="N174" i="1"/>
  <c r="M174" i="1"/>
  <c r="L174" i="1"/>
  <c r="K174" i="1"/>
  <c r="J174" i="1"/>
  <c r="I174" i="1"/>
  <c r="G174" i="1"/>
  <c r="A174" i="1"/>
  <c r="A173" i="1"/>
  <c r="A172" i="1"/>
  <c r="Q171" i="1"/>
  <c r="P171" i="1"/>
  <c r="O171" i="1"/>
  <c r="M171" i="1"/>
  <c r="L171" i="1"/>
  <c r="K171" i="1"/>
  <c r="J171" i="1"/>
  <c r="G171" i="1"/>
  <c r="A171" i="1"/>
  <c r="A170" i="1"/>
  <c r="A169" i="1"/>
  <c r="Q168" i="1"/>
  <c r="P168" i="1"/>
  <c r="O168" i="1"/>
  <c r="M168" i="1"/>
  <c r="L168" i="1"/>
  <c r="K168" i="1"/>
  <c r="J168" i="1"/>
  <c r="G168" i="1"/>
  <c r="A168" i="1"/>
  <c r="Q167" i="1"/>
  <c r="P167" i="1"/>
  <c r="O167" i="1"/>
  <c r="M167" i="1"/>
  <c r="L167" i="1"/>
  <c r="K167" i="1"/>
  <c r="J167" i="1"/>
  <c r="G167" i="1"/>
  <c r="A167" i="1"/>
  <c r="Q166" i="1"/>
  <c r="P166" i="1"/>
  <c r="O166" i="1"/>
  <c r="M166" i="1"/>
  <c r="L166" i="1"/>
  <c r="K166" i="1"/>
  <c r="J166" i="1"/>
  <c r="G166" i="1"/>
  <c r="A166" i="1"/>
  <c r="Q165" i="1"/>
  <c r="P165" i="1"/>
  <c r="O165" i="1"/>
  <c r="M165" i="1"/>
  <c r="L165" i="1"/>
  <c r="K165" i="1"/>
  <c r="J165" i="1"/>
  <c r="G165" i="1"/>
  <c r="A165" i="1"/>
  <c r="Q164" i="1"/>
  <c r="P164" i="1"/>
  <c r="O164" i="1"/>
  <c r="M164" i="1"/>
  <c r="L164" i="1"/>
  <c r="K164" i="1"/>
  <c r="J164" i="1"/>
  <c r="G164" i="1"/>
  <c r="A164" i="1"/>
  <c r="Q163" i="1"/>
  <c r="P163" i="1"/>
  <c r="O163" i="1"/>
  <c r="M163" i="1"/>
  <c r="L163" i="1"/>
  <c r="K163" i="1"/>
  <c r="J163" i="1"/>
  <c r="G163" i="1"/>
  <c r="A163" i="1"/>
  <c r="Q162" i="1"/>
  <c r="P162" i="1"/>
  <c r="O162" i="1"/>
  <c r="M162" i="1"/>
  <c r="L162" i="1"/>
  <c r="K162" i="1"/>
  <c r="J162" i="1"/>
  <c r="G162" i="1"/>
  <c r="A162" i="1"/>
  <c r="Q161" i="1"/>
  <c r="P161" i="1"/>
  <c r="O161" i="1"/>
  <c r="M161" i="1"/>
  <c r="L161" i="1"/>
  <c r="K161" i="1"/>
  <c r="J161" i="1"/>
  <c r="G161" i="1"/>
  <c r="A161" i="1"/>
  <c r="Q160" i="1"/>
  <c r="P160" i="1"/>
  <c r="O160" i="1"/>
  <c r="M160" i="1"/>
  <c r="L160" i="1"/>
  <c r="K160" i="1"/>
  <c r="J160" i="1"/>
  <c r="G160" i="1"/>
  <c r="A160" i="1"/>
  <c r="Q159" i="1"/>
  <c r="P159" i="1"/>
  <c r="O159" i="1"/>
  <c r="M159" i="1"/>
  <c r="L159" i="1"/>
  <c r="K159" i="1"/>
  <c r="J159" i="1"/>
  <c r="G159" i="1"/>
  <c r="A159" i="1"/>
  <c r="Q158" i="1"/>
  <c r="P158" i="1"/>
  <c r="O158" i="1"/>
  <c r="M158" i="1"/>
  <c r="L158" i="1"/>
  <c r="K158" i="1"/>
  <c r="J158" i="1"/>
  <c r="G158" i="1"/>
  <c r="A158" i="1"/>
  <c r="Q157" i="1"/>
  <c r="P157" i="1"/>
  <c r="O157" i="1"/>
  <c r="M157" i="1"/>
  <c r="L157" i="1"/>
  <c r="K157" i="1"/>
  <c r="J157" i="1"/>
  <c r="G157" i="1"/>
  <c r="A157" i="1"/>
  <c r="Q156" i="1"/>
  <c r="P156" i="1"/>
  <c r="O156" i="1"/>
  <c r="M156" i="1"/>
  <c r="L156" i="1"/>
  <c r="K156" i="1"/>
  <c r="J156" i="1"/>
  <c r="G156" i="1"/>
  <c r="A156" i="1"/>
  <c r="Q155" i="1"/>
  <c r="P155" i="1"/>
  <c r="O155" i="1"/>
  <c r="M155" i="1"/>
  <c r="L155" i="1"/>
  <c r="K155" i="1"/>
  <c r="J155" i="1"/>
  <c r="G155" i="1"/>
  <c r="A155" i="1"/>
  <c r="Q154" i="1"/>
  <c r="P154" i="1"/>
  <c r="O154" i="1"/>
  <c r="M154" i="1"/>
  <c r="L154" i="1"/>
  <c r="K154" i="1"/>
  <c r="J154" i="1"/>
  <c r="G154" i="1"/>
  <c r="A154" i="1"/>
  <c r="A153" i="1"/>
  <c r="A152" i="1"/>
  <c r="Q151" i="1"/>
  <c r="P151" i="1"/>
  <c r="O151" i="1"/>
  <c r="N151" i="1"/>
  <c r="M151" i="1"/>
  <c r="L151" i="1"/>
  <c r="K151" i="1"/>
  <c r="J151" i="1"/>
  <c r="I151" i="1"/>
  <c r="G151" i="1"/>
  <c r="A151" i="1"/>
  <c r="Q150" i="1"/>
  <c r="P150" i="1"/>
  <c r="O150" i="1"/>
  <c r="N150" i="1"/>
  <c r="M150" i="1"/>
  <c r="L150" i="1"/>
  <c r="K150" i="1"/>
  <c r="J150" i="1"/>
  <c r="I150" i="1"/>
  <c r="G150" i="1"/>
  <c r="A150" i="1"/>
  <c r="Q149" i="1"/>
  <c r="P149" i="1"/>
  <c r="O149" i="1"/>
  <c r="N149" i="1"/>
  <c r="M149" i="1"/>
  <c r="L149" i="1"/>
  <c r="K149" i="1"/>
  <c r="J149" i="1"/>
  <c r="I149" i="1"/>
  <c r="G149" i="1"/>
  <c r="A149" i="1"/>
  <c r="Q148" i="1"/>
  <c r="P148" i="1"/>
  <c r="O148" i="1"/>
  <c r="N148" i="1"/>
  <c r="M148" i="1"/>
  <c r="L148" i="1"/>
  <c r="K148" i="1"/>
  <c r="J148" i="1"/>
  <c r="I148" i="1"/>
  <c r="G148" i="1"/>
  <c r="A148" i="1"/>
  <c r="Q147" i="1"/>
  <c r="P147" i="1"/>
  <c r="O147" i="1"/>
  <c r="N147" i="1"/>
  <c r="M147" i="1"/>
  <c r="L147" i="1"/>
  <c r="K147" i="1"/>
  <c r="J147" i="1"/>
  <c r="I147" i="1"/>
  <c r="G147" i="1"/>
  <c r="A147" i="1"/>
  <c r="Q146" i="1"/>
  <c r="P146" i="1"/>
  <c r="O146" i="1"/>
  <c r="N146" i="1"/>
  <c r="M146" i="1"/>
  <c r="L146" i="1"/>
  <c r="K146" i="1"/>
  <c r="J146" i="1"/>
  <c r="I146" i="1"/>
  <c r="G146" i="1"/>
  <c r="A146" i="1"/>
  <c r="A145" i="1"/>
  <c r="A144" i="1"/>
  <c r="Q143" i="1"/>
  <c r="P143" i="1"/>
  <c r="O143" i="1"/>
  <c r="M143" i="1"/>
  <c r="L143" i="1"/>
  <c r="K143" i="1"/>
  <c r="J143" i="1"/>
  <c r="G143" i="1"/>
  <c r="A143" i="1"/>
  <c r="A142" i="1"/>
  <c r="A141" i="1"/>
  <c r="A140" i="1"/>
  <c r="Q139" i="1"/>
  <c r="A139" i="1"/>
  <c r="A138" i="1"/>
  <c r="Q137" i="1"/>
  <c r="P137" i="1"/>
  <c r="O137" i="1"/>
  <c r="M137" i="1"/>
  <c r="L137" i="1"/>
  <c r="K137" i="1"/>
  <c r="J137" i="1"/>
  <c r="G137" i="1"/>
  <c r="A137" i="1"/>
  <c r="A136" i="1"/>
  <c r="A135" i="1"/>
  <c r="Q134" i="1"/>
  <c r="P134" i="1"/>
  <c r="O134" i="1"/>
  <c r="M134" i="1"/>
  <c r="L134" i="1"/>
  <c r="K134" i="1"/>
  <c r="J134" i="1"/>
  <c r="G134" i="1"/>
  <c r="A134" i="1"/>
  <c r="Q133" i="1"/>
  <c r="P133" i="1"/>
  <c r="O133" i="1"/>
  <c r="M133" i="1"/>
  <c r="L133" i="1"/>
  <c r="K133" i="1"/>
  <c r="J133" i="1"/>
  <c r="G133" i="1"/>
  <c r="A133" i="1"/>
  <c r="Q132" i="1"/>
  <c r="P132" i="1"/>
  <c r="O132" i="1"/>
  <c r="M132" i="1"/>
  <c r="L132" i="1"/>
  <c r="K132" i="1"/>
  <c r="J132" i="1"/>
  <c r="G132" i="1"/>
  <c r="A132" i="1"/>
  <c r="Q131" i="1"/>
  <c r="P131" i="1"/>
  <c r="O131" i="1"/>
  <c r="N131" i="1"/>
  <c r="M131" i="1"/>
  <c r="L131" i="1"/>
  <c r="K131" i="1"/>
  <c r="J131" i="1"/>
  <c r="G131" i="1"/>
  <c r="A131" i="1"/>
  <c r="Q130" i="1"/>
  <c r="P130" i="1"/>
  <c r="O130" i="1"/>
  <c r="M130" i="1"/>
  <c r="L130" i="1"/>
  <c r="K130" i="1"/>
  <c r="J130" i="1"/>
  <c r="G130" i="1"/>
  <c r="A130" i="1"/>
  <c r="Q129" i="1"/>
  <c r="P129" i="1"/>
  <c r="O129" i="1"/>
  <c r="M129" i="1"/>
  <c r="L129" i="1"/>
  <c r="K129" i="1"/>
  <c r="J129" i="1"/>
  <c r="G129" i="1"/>
  <c r="A129" i="1"/>
  <c r="Q128" i="1"/>
  <c r="P128" i="1"/>
  <c r="O128" i="1"/>
  <c r="N128" i="1"/>
  <c r="M128" i="1"/>
  <c r="L128" i="1"/>
  <c r="K128" i="1"/>
  <c r="J128" i="1"/>
  <c r="G128" i="1"/>
  <c r="A128" i="1"/>
  <c r="Q127" i="1"/>
  <c r="P127" i="1"/>
  <c r="O127" i="1"/>
  <c r="N127" i="1"/>
  <c r="M127" i="1"/>
  <c r="L127" i="1"/>
  <c r="K127" i="1"/>
  <c r="J127" i="1"/>
  <c r="G127" i="1"/>
  <c r="A127" i="1"/>
  <c r="Q126" i="1"/>
  <c r="P126" i="1"/>
  <c r="O126" i="1"/>
  <c r="N126" i="1"/>
  <c r="M126" i="1"/>
  <c r="L126" i="1"/>
  <c r="K126" i="1"/>
  <c r="J126" i="1"/>
  <c r="G126" i="1"/>
  <c r="A126" i="1"/>
  <c r="Q125" i="1"/>
  <c r="P125" i="1"/>
  <c r="O125" i="1"/>
  <c r="N125" i="1"/>
  <c r="M125" i="1"/>
  <c r="L125" i="1"/>
  <c r="K125" i="1"/>
  <c r="J125" i="1"/>
  <c r="G125" i="1"/>
  <c r="A125" i="1"/>
  <c r="Q124" i="1"/>
  <c r="P124" i="1"/>
  <c r="O124" i="1"/>
  <c r="M124" i="1"/>
  <c r="L124" i="1"/>
  <c r="K124" i="1"/>
  <c r="J124" i="1"/>
  <c r="G124" i="1"/>
  <c r="A124" i="1"/>
  <c r="Q123" i="1"/>
  <c r="P123" i="1"/>
  <c r="O123" i="1"/>
  <c r="M123" i="1"/>
  <c r="L123" i="1"/>
  <c r="K123" i="1"/>
  <c r="J123" i="1"/>
  <c r="G123" i="1"/>
  <c r="A123" i="1"/>
  <c r="Q122" i="1"/>
  <c r="P122" i="1"/>
  <c r="O122" i="1"/>
  <c r="N122" i="1"/>
  <c r="M122" i="1"/>
  <c r="L122" i="1"/>
  <c r="K122" i="1"/>
  <c r="J122" i="1"/>
  <c r="G122" i="1"/>
  <c r="A122" i="1"/>
  <c r="Q121" i="1"/>
  <c r="P121" i="1"/>
  <c r="O121" i="1"/>
  <c r="M121" i="1"/>
  <c r="L121" i="1"/>
  <c r="K121" i="1"/>
  <c r="J121" i="1"/>
  <c r="G121" i="1"/>
  <c r="A121" i="1"/>
  <c r="Q120" i="1"/>
  <c r="P120" i="1"/>
  <c r="O120" i="1"/>
  <c r="N120" i="1"/>
  <c r="M120" i="1"/>
  <c r="L120" i="1"/>
  <c r="K120" i="1"/>
  <c r="J120" i="1"/>
  <c r="G120" i="1"/>
  <c r="A120" i="1"/>
  <c r="Q119" i="1"/>
  <c r="P119" i="1"/>
  <c r="O119" i="1"/>
  <c r="M119" i="1"/>
  <c r="L119" i="1"/>
  <c r="K119" i="1"/>
  <c r="J119" i="1"/>
  <c r="G119" i="1"/>
  <c r="A119" i="1"/>
  <c r="Q118" i="1"/>
  <c r="P118" i="1"/>
  <c r="O118" i="1"/>
  <c r="M118" i="1"/>
  <c r="L118" i="1"/>
  <c r="K118" i="1"/>
  <c r="J118" i="1"/>
  <c r="G118" i="1"/>
  <c r="A118" i="1"/>
  <c r="Q117" i="1"/>
  <c r="P117" i="1"/>
  <c r="O117" i="1"/>
  <c r="M117" i="1"/>
  <c r="L117" i="1"/>
  <c r="K117" i="1"/>
  <c r="J117" i="1"/>
  <c r="G117" i="1"/>
  <c r="A117" i="1"/>
  <c r="Q116" i="1"/>
  <c r="P116" i="1"/>
  <c r="O116" i="1"/>
  <c r="M116" i="1"/>
  <c r="L116" i="1"/>
  <c r="K116" i="1"/>
  <c r="J116" i="1"/>
  <c r="G116" i="1"/>
  <c r="A116" i="1"/>
  <c r="A115" i="1"/>
  <c r="A114" i="1"/>
  <c r="Q113" i="1"/>
  <c r="P113" i="1"/>
  <c r="O113" i="1"/>
  <c r="N113" i="1"/>
  <c r="M113" i="1"/>
  <c r="L113" i="1"/>
  <c r="K113" i="1"/>
  <c r="J113" i="1"/>
  <c r="I113" i="1"/>
  <c r="G113" i="1"/>
  <c r="A113" i="1"/>
  <c r="Q112" i="1"/>
  <c r="P112" i="1"/>
  <c r="O112" i="1"/>
  <c r="N112" i="1"/>
  <c r="M112" i="1"/>
  <c r="L112" i="1"/>
  <c r="K112" i="1"/>
  <c r="J112" i="1"/>
  <c r="I112" i="1"/>
  <c r="G112" i="1"/>
  <c r="A112" i="1"/>
  <c r="A111" i="1"/>
  <c r="A110" i="1"/>
  <c r="Q109" i="1"/>
  <c r="P109" i="1"/>
  <c r="O109" i="1"/>
  <c r="N109" i="1"/>
  <c r="M109" i="1"/>
  <c r="L109" i="1"/>
  <c r="K109" i="1"/>
  <c r="J109" i="1"/>
  <c r="G109" i="1"/>
  <c r="A109" i="1"/>
  <c r="Q108" i="1"/>
  <c r="P108" i="1"/>
  <c r="O108" i="1"/>
  <c r="N108" i="1"/>
  <c r="M108" i="1"/>
  <c r="L108" i="1"/>
  <c r="K108" i="1"/>
  <c r="J108" i="1"/>
  <c r="G108" i="1"/>
  <c r="A108" i="1"/>
  <c r="Q107" i="1"/>
  <c r="P107" i="1"/>
  <c r="O107" i="1"/>
  <c r="N107" i="1"/>
  <c r="M107" i="1"/>
  <c r="L107" i="1"/>
  <c r="K107" i="1"/>
  <c r="J107" i="1"/>
  <c r="G107" i="1"/>
  <c r="A107" i="1"/>
  <c r="A106" i="1"/>
  <c r="A105" i="1"/>
  <c r="Q104" i="1"/>
  <c r="P104" i="1"/>
  <c r="O104" i="1"/>
  <c r="M104" i="1"/>
  <c r="L104" i="1"/>
  <c r="K104" i="1"/>
  <c r="J104" i="1"/>
  <c r="G104" i="1"/>
  <c r="A104" i="1"/>
  <c r="Q103" i="1"/>
  <c r="P103" i="1"/>
  <c r="O103" i="1"/>
  <c r="M103" i="1"/>
  <c r="L103" i="1"/>
  <c r="K103" i="1"/>
  <c r="J103" i="1"/>
  <c r="G103" i="1"/>
  <c r="A103" i="1"/>
  <c r="Q102" i="1"/>
  <c r="P102" i="1"/>
  <c r="O102" i="1"/>
  <c r="M102" i="1"/>
  <c r="L102" i="1"/>
  <c r="K102" i="1"/>
  <c r="J102" i="1"/>
  <c r="G102" i="1"/>
  <c r="A102" i="1"/>
  <c r="A101" i="1"/>
  <c r="A100" i="1"/>
  <c r="A99" i="1"/>
  <c r="Q98" i="1"/>
  <c r="A98" i="1"/>
  <c r="A97" i="1"/>
  <c r="Q96" i="1"/>
  <c r="P96" i="1"/>
  <c r="O96" i="1"/>
  <c r="M96" i="1"/>
  <c r="L96" i="1"/>
  <c r="K96" i="1"/>
  <c r="J96" i="1"/>
  <c r="G96" i="1"/>
  <c r="A96" i="1"/>
  <c r="Q95" i="1"/>
  <c r="P95" i="1"/>
  <c r="O95" i="1"/>
  <c r="M95" i="1"/>
  <c r="L95" i="1"/>
  <c r="K95" i="1"/>
  <c r="J95" i="1"/>
  <c r="G95" i="1"/>
  <c r="A95" i="1"/>
  <c r="Q94" i="1"/>
  <c r="P94" i="1"/>
  <c r="O94" i="1"/>
  <c r="M94" i="1"/>
  <c r="L94" i="1"/>
  <c r="K94" i="1"/>
  <c r="J94" i="1"/>
  <c r="G94" i="1"/>
  <c r="A94" i="1"/>
  <c r="A93" i="1"/>
  <c r="A92" i="1"/>
  <c r="A91" i="1"/>
  <c r="Q90" i="1"/>
  <c r="A90" i="1"/>
  <c r="A89" i="1"/>
  <c r="Q88" i="1"/>
  <c r="P88" i="1"/>
  <c r="O88" i="1"/>
  <c r="M88" i="1"/>
  <c r="L88" i="1"/>
  <c r="K88" i="1"/>
  <c r="J88" i="1"/>
  <c r="G88" i="1"/>
  <c r="A88" i="1"/>
  <c r="Q87" i="1"/>
  <c r="P87" i="1"/>
  <c r="O87" i="1"/>
  <c r="M87" i="1"/>
  <c r="L87" i="1"/>
  <c r="K87" i="1"/>
  <c r="J87" i="1"/>
  <c r="G87" i="1"/>
  <c r="A87" i="1"/>
  <c r="A86" i="1"/>
  <c r="A85" i="1"/>
  <c r="Q84" i="1"/>
  <c r="P84" i="1"/>
  <c r="O84" i="1"/>
  <c r="M84" i="1"/>
  <c r="L84" i="1"/>
  <c r="K84" i="1"/>
  <c r="J84" i="1"/>
  <c r="G84" i="1"/>
  <c r="A84" i="1"/>
  <c r="Q83" i="1"/>
  <c r="P83" i="1"/>
  <c r="O83" i="1"/>
  <c r="M83" i="1"/>
  <c r="L83" i="1"/>
  <c r="K83" i="1"/>
  <c r="J83" i="1"/>
  <c r="G83" i="1"/>
  <c r="A83" i="1"/>
  <c r="Q82" i="1"/>
  <c r="P82" i="1"/>
  <c r="O82" i="1"/>
  <c r="M82" i="1"/>
  <c r="L82" i="1"/>
  <c r="K82" i="1"/>
  <c r="J82" i="1"/>
  <c r="G82" i="1"/>
  <c r="A82" i="1"/>
  <c r="A81" i="1"/>
  <c r="Q80" i="1"/>
  <c r="P80" i="1"/>
  <c r="O80" i="1"/>
  <c r="M80" i="1"/>
  <c r="L80" i="1"/>
  <c r="K80" i="1"/>
  <c r="J80" i="1"/>
  <c r="G80" i="1"/>
  <c r="A80" i="1"/>
  <c r="Q79" i="1"/>
  <c r="P79" i="1"/>
  <c r="O79" i="1"/>
  <c r="M79" i="1"/>
  <c r="L79" i="1"/>
  <c r="K79" i="1"/>
  <c r="J79" i="1"/>
  <c r="G79" i="1"/>
  <c r="A79" i="1"/>
  <c r="Q78" i="1"/>
  <c r="P78" i="1"/>
  <c r="O78" i="1"/>
  <c r="M78" i="1"/>
  <c r="L78" i="1"/>
  <c r="K78" i="1"/>
  <c r="J78" i="1"/>
  <c r="G78" i="1"/>
  <c r="A78" i="1"/>
  <c r="A77" i="1"/>
  <c r="Q76" i="1"/>
  <c r="P76" i="1"/>
  <c r="O76" i="1"/>
  <c r="M76" i="1"/>
  <c r="L76" i="1"/>
  <c r="K76" i="1"/>
  <c r="J76" i="1"/>
  <c r="G76" i="1"/>
  <c r="A76" i="1"/>
  <c r="Q75" i="1"/>
  <c r="P75" i="1"/>
  <c r="O75" i="1"/>
  <c r="M75" i="1"/>
  <c r="L75" i="1"/>
  <c r="K75" i="1"/>
  <c r="J75" i="1"/>
  <c r="G75" i="1"/>
  <c r="A75" i="1"/>
  <c r="Q74" i="1"/>
  <c r="P74" i="1"/>
  <c r="O74" i="1"/>
  <c r="M74" i="1"/>
  <c r="L74" i="1"/>
  <c r="K74" i="1"/>
  <c r="J74" i="1"/>
  <c r="G74" i="1"/>
  <c r="A74" i="1"/>
  <c r="A73" i="1"/>
  <c r="Q72" i="1"/>
  <c r="P72" i="1"/>
  <c r="O72" i="1"/>
  <c r="M72" i="1"/>
  <c r="L72" i="1"/>
  <c r="K72" i="1"/>
  <c r="J72" i="1"/>
  <c r="G72" i="1"/>
  <c r="A72" i="1"/>
  <c r="Q71" i="1"/>
  <c r="P71" i="1"/>
  <c r="O71" i="1"/>
  <c r="M71" i="1"/>
  <c r="L71" i="1"/>
  <c r="K71" i="1"/>
  <c r="J71" i="1"/>
  <c r="G71" i="1"/>
  <c r="A71" i="1"/>
  <c r="Q70" i="1"/>
  <c r="P70" i="1"/>
  <c r="O70" i="1"/>
  <c r="M70" i="1"/>
  <c r="L70" i="1"/>
  <c r="K70" i="1"/>
  <c r="J70" i="1"/>
  <c r="G70" i="1"/>
  <c r="A70" i="1"/>
  <c r="A69" i="1"/>
  <c r="A68" i="1"/>
  <c r="Q67" i="1"/>
  <c r="P67" i="1"/>
  <c r="O67" i="1"/>
  <c r="M67" i="1"/>
  <c r="L67" i="1"/>
  <c r="K67" i="1"/>
  <c r="J67" i="1"/>
  <c r="G67" i="1"/>
  <c r="A67" i="1"/>
  <c r="Q66" i="1"/>
  <c r="P66" i="1"/>
  <c r="O66" i="1"/>
  <c r="M66" i="1"/>
  <c r="L66" i="1"/>
  <c r="K66" i="1"/>
  <c r="J66" i="1"/>
  <c r="G66" i="1"/>
  <c r="A66" i="1"/>
  <c r="Q65" i="1"/>
  <c r="P65" i="1"/>
  <c r="O65" i="1"/>
  <c r="M65" i="1"/>
  <c r="L65" i="1"/>
  <c r="K65" i="1"/>
  <c r="J65" i="1"/>
  <c r="G65" i="1"/>
  <c r="A65" i="1"/>
  <c r="A64" i="1"/>
  <c r="Q63" i="1"/>
  <c r="P63" i="1"/>
  <c r="O63" i="1"/>
  <c r="M63" i="1"/>
  <c r="L63" i="1"/>
  <c r="K63" i="1"/>
  <c r="J63" i="1"/>
  <c r="G63" i="1"/>
  <c r="A63" i="1"/>
  <c r="Q62" i="1"/>
  <c r="P62" i="1"/>
  <c r="O62" i="1"/>
  <c r="M62" i="1"/>
  <c r="L62" i="1"/>
  <c r="K62" i="1"/>
  <c r="J62" i="1"/>
  <c r="G62" i="1"/>
  <c r="A62" i="1"/>
  <c r="Q61" i="1"/>
  <c r="P61" i="1"/>
  <c r="O61" i="1"/>
  <c r="M61" i="1"/>
  <c r="L61" i="1"/>
  <c r="K61" i="1"/>
  <c r="J61" i="1"/>
  <c r="G61" i="1"/>
  <c r="A61" i="1"/>
  <c r="A60" i="1"/>
  <c r="A59" i="1"/>
  <c r="Q58" i="1"/>
  <c r="P58" i="1"/>
  <c r="O58" i="1"/>
  <c r="M58" i="1"/>
  <c r="L58" i="1"/>
  <c r="K58" i="1"/>
  <c r="J58" i="1"/>
  <c r="G58" i="1"/>
  <c r="A58" i="1"/>
  <c r="Q57" i="1"/>
  <c r="P57" i="1"/>
  <c r="O57" i="1"/>
  <c r="M57" i="1"/>
  <c r="L57" i="1"/>
  <c r="K57" i="1"/>
  <c r="J57" i="1"/>
  <c r="G57" i="1"/>
  <c r="A57" i="1"/>
  <c r="A56" i="1"/>
  <c r="A55" i="1"/>
  <c r="Q54" i="1"/>
  <c r="P54" i="1"/>
  <c r="O54" i="1"/>
  <c r="M54" i="1"/>
  <c r="L54" i="1"/>
  <c r="K54" i="1"/>
  <c r="J54" i="1"/>
  <c r="G54" i="1"/>
  <c r="A54" i="1"/>
  <c r="Q53" i="1"/>
  <c r="P53" i="1"/>
  <c r="O53" i="1"/>
  <c r="M53" i="1"/>
  <c r="L53" i="1"/>
  <c r="K53" i="1"/>
  <c r="J53" i="1"/>
  <c r="G53" i="1"/>
  <c r="A53" i="1"/>
  <c r="A52" i="1"/>
  <c r="Q51" i="1"/>
  <c r="P51" i="1"/>
  <c r="O51" i="1"/>
  <c r="M51" i="1"/>
  <c r="L51" i="1"/>
  <c r="K51" i="1"/>
  <c r="J51" i="1"/>
  <c r="G51" i="1"/>
  <c r="A51" i="1"/>
  <c r="Q50" i="1"/>
  <c r="P50" i="1"/>
  <c r="O50" i="1"/>
  <c r="M50" i="1"/>
  <c r="L50" i="1"/>
  <c r="K50" i="1"/>
  <c r="J50" i="1"/>
  <c r="G50" i="1"/>
  <c r="A50" i="1"/>
  <c r="A49" i="1"/>
  <c r="Q48" i="1"/>
  <c r="P48" i="1"/>
  <c r="O48" i="1"/>
  <c r="M48" i="1"/>
  <c r="L48" i="1"/>
  <c r="K48" i="1"/>
  <c r="J48" i="1"/>
  <c r="G48" i="1"/>
  <c r="A48" i="1"/>
  <c r="Q47" i="1"/>
  <c r="P47" i="1"/>
  <c r="O47" i="1"/>
  <c r="M47" i="1"/>
  <c r="L47" i="1"/>
  <c r="K47" i="1"/>
  <c r="J47" i="1"/>
  <c r="G47" i="1"/>
  <c r="A47" i="1"/>
  <c r="Q46" i="1"/>
  <c r="P46" i="1"/>
  <c r="O46" i="1"/>
  <c r="M46" i="1"/>
  <c r="L46" i="1"/>
  <c r="K46" i="1"/>
  <c r="J46" i="1"/>
  <c r="G46" i="1"/>
  <c r="A46" i="1"/>
  <c r="A45" i="1"/>
  <c r="Q44" i="1"/>
  <c r="P44" i="1"/>
  <c r="O44" i="1"/>
  <c r="M44" i="1"/>
  <c r="L44" i="1"/>
  <c r="K44" i="1"/>
  <c r="J44" i="1"/>
  <c r="G44" i="1"/>
  <c r="A44" i="1"/>
  <c r="Q43" i="1"/>
  <c r="P43" i="1"/>
  <c r="O43" i="1"/>
  <c r="M43" i="1"/>
  <c r="L43" i="1"/>
  <c r="K43" i="1"/>
  <c r="J43" i="1"/>
  <c r="G43" i="1"/>
  <c r="A43" i="1"/>
  <c r="Q42" i="1"/>
  <c r="P42" i="1"/>
  <c r="O42" i="1"/>
  <c r="M42" i="1"/>
  <c r="L42" i="1"/>
  <c r="K42" i="1"/>
  <c r="J42" i="1"/>
  <c r="G42" i="1"/>
  <c r="A42" i="1"/>
  <c r="A41" i="1"/>
  <c r="A40" i="1"/>
  <c r="Q39" i="1"/>
  <c r="P39" i="1"/>
  <c r="O39" i="1"/>
  <c r="M39" i="1"/>
  <c r="L39" i="1"/>
  <c r="K39" i="1"/>
  <c r="J39" i="1"/>
  <c r="G39" i="1"/>
  <c r="A39" i="1"/>
  <c r="Q38" i="1"/>
  <c r="P38" i="1"/>
  <c r="O38" i="1"/>
  <c r="M38" i="1"/>
  <c r="L38" i="1"/>
  <c r="K38" i="1"/>
  <c r="J38" i="1"/>
  <c r="G38" i="1"/>
  <c r="A38" i="1"/>
  <c r="Q37" i="1"/>
  <c r="P37" i="1"/>
  <c r="O37" i="1"/>
  <c r="M37" i="1"/>
  <c r="L37" i="1"/>
  <c r="K37" i="1"/>
  <c r="J37" i="1"/>
  <c r="G37" i="1"/>
  <c r="A37" i="1"/>
  <c r="A36" i="1"/>
  <c r="A35" i="1"/>
  <c r="Q34" i="1"/>
  <c r="P34" i="1"/>
  <c r="O34" i="1"/>
  <c r="M34" i="1"/>
  <c r="L34" i="1"/>
  <c r="K34" i="1"/>
  <c r="J34" i="1"/>
  <c r="G34" i="1"/>
  <c r="A34" i="1"/>
  <c r="Q33" i="1"/>
  <c r="P33" i="1"/>
  <c r="O33" i="1"/>
  <c r="M33" i="1"/>
  <c r="L33" i="1"/>
  <c r="K33" i="1"/>
  <c r="J33" i="1"/>
  <c r="G33" i="1"/>
  <c r="A33" i="1"/>
  <c r="Q32" i="1"/>
  <c r="P32" i="1"/>
  <c r="O32" i="1"/>
  <c r="M32" i="1"/>
  <c r="L32" i="1"/>
  <c r="K32" i="1"/>
  <c r="J32" i="1"/>
  <c r="G32" i="1"/>
  <c r="A32" i="1"/>
  <c r="Q30" i="1"/>
  <c r="P30" i="1"/>
  <c r="O30" i="1"/>
  <c r="M30" i="1"/>
  <c r="L30" i="1"/>
  <c r="K30" i="1"/>
  <c r="J30" i="1"/>
  <c r="G30" i="1"/>
  <c r="A30" i="1"/>
  <c r="Q29" i="1"/>
  <c r="P29" i="1"/>
  <c r="O29" i="1"/>
  <c r="M29" i="1"/>
  <c r="L29" i="1"/>
  <c r="K29" i="1"/>
  <c r="J29" i="1"/>
  <c r="G29" i="1"/>
  <c r="A29" i="1"/>
  <c r="Q28" i="1"/>
  <c r="P28" i="1"/>
  <c r="O28" i="1"/>
  <c r="M28" i="1"/>
  <c r="L28" i="1"/>
  <c r="K28" i="1"/>
  <c r="J28" i="1"/>
  <c r="G28" i="1"/>
  <c r="A28" i="1"/>
  <c r="Q26" i="1"/>
  <c r="P26" i="1"/>
  <c r="O26" i="1"/>
  <c r="M26" i="1"/>
  <c r="L26" i="1"/>
  <c r="K26" i="1"/>
  <c r="J26" i="1"/>
  <c r="G26" i="1"/>
  <c r="A26" i="1"/>
  <c r="Q25" i="1"/>
  <c r="P25" i="1"/>
  <c r="O25" i="1"/>
  <c r="M25" i="1"/>
  <c r="L25" i="1"/>
  <c r="K25" i="1"/>
  <c r="J25" i="1"/>
  <c r="G25" i="1"/>
  <c r="A25" i="1"/>
  <c r="Q24" i="1"/>
  <c r="P24" i="1"/>
  <c r="O24" i="1"/>
  <c r="M24" i="1"/>
  <c r="L24" i="1"/>
  <c r="K24" i="1"/>
  <c r="J24" i="1"/>
  <c r="G24" i="1"/>
  <c r="A24" i="1"/>
  <c r="Q22" i="1"/>
  <c r="P22" i="1"/>
  <c r="O22" i="1"/>
  <c r="M22" i="1"/>
  <c r="L22" i="1"/>
  <c r="K22" i="1"/>
  <c r="J22" i="1"/>
  <c r="G22" i="1"/>
  <c r="A22" i="1"/>
  <c r="Q21" i="1"/>
  <c r="P21" i="1"/>
  <c r="O21" i="1"/>
  <c r="M21" i="1"/>
  <c r="L21" i="1"/>
  <c r="K21" i="1"/>
  <c r="J21" i="1"/>
  <c r="G21" i="1"/>
  <c r="A21" i="1"/>
  <c r="Q20" i="1"/>
  <c r="P20" i="1"/>
  <c r="O20" i="1"/>
  <c r="M20" i="1"/>
  <c r="L20" i="1"/>
  <c r="K20" i="1"/>
  <c r="J20" i="1"/>
  <c r="G20" i="1"/>
  <c r="A20" i="1"/>
  <c r="A19" i="1"/>
  <c r="A18" i="1"/>
  <c r="A17" i="1"/>
  <c r="A16" i="1"/>
  <c r="Q15" i="1"/>
  <c r="A15" i="1"/>
  <c r="P14" i="1"/>
  <c r="O14" i="1"/>
  <c r="M14" i="1"/>
  <c r="L14" i="1"/>
  <c r="J14" i="1"/>
  <c r="G14" i="1"/>
  <c r="A14" i="1"/>
  <c r="P13" i="1"/>
  <c r="O13" i="1"/>
  <c r="M13" i="1"/>
  <c r="L13" i="1"/>
  <c r="J13" i="1"/>
  <c r="G13" i="1"/>
  <c r="A13" i="1"/>
  <c r="P12" i="1"/>
  <c r="O12" i="1"/>
  <c r="M12" i="1"/>
  <c r="L12" i="1"/>
  <c r="J12" i="1"/>
  <c r="G12" i="1"/>
  <c r="A12" i="1"/>
  <c r="P11" i="1"/>
  <c r="O11" i="1"/>
  <c r="M11" i="1"/>
  <c r="L11" i="1"/>
  <c r="J11" i="1"/>
  <c r="G11" i="1"/>
  <c r="A11" i="1"/>
  <c r="P10" i="1"/>
  <c r="O10" i="1"/>
  <c r="M10" i="1"/>
  <c r="L10" i="1"/>
  <c r="J10" i="1"/>
  <c r="G10" i="1"/>
  <c r="A10" i="1"/>
  <c r="P9" i="1"/>
  <c r="O9" i="1"/>
  <c r="M9" i="1"/>
  <c r="L9" i="1"/>
  <c r="J9" i="1"/>
  <c r="G9" i="1"/>
  <c r="A9" i="1"/>
  <c r="P8" i="1"/>
  <c r="O8" i="1"/>
  <c r="M8" i="1"/>
  <c r="L8" i="1"/>
  <c r="J8" i="1"/>
  <c r="G8" i="1"/>
  <c r="A8" i="1"/>
  <c r="C25" i="4"/>
  <c r="C24" i="4"/>
  <c r="C23" i="4"/>
  <c r="C22" i="4"/>
  <c r="C21" i="4"/>
  <c r="C19" i="4"/>
  <c r="C18" i="4"/>
  <c r="C17" i="4"/>
  <c r="C16" i="4"/>
  <c r="C15" i="4"/>
  <c r="C14" i="4"/>
  <c r="C13" i="4"/>
  <c r="C12" i="4"/>
  <c r="C11" i="4"/>
  <c r="C10" i="4"/>
  <c r="C9" i="4"/>
  <c r="C8" i="4"/>
  <c r="C7" i="4"/>
  <c r="C6" i="4"/>
  <c r="C5" i="4"/>
  <c r="B3" i="4"/>
</calcChain>
</file>

<file path=xl/sharedStrings.xml><?xml version="1.0" encoding="utf-8"?>
<sst xmlns="http://schemas.openxmlformats.org/spreadsheetml/2006/main" count="1276" uniqueCount="602">
  <si>
    <t>GENERAL SUMMARY</t>
  </si>
  <si>
    <t>BUILDING GSF</t>
  </si>
  <si>
    <t>COST PER SF</t>
  </si>
  <si>
    <t>DIVISION NO.</t>
  </si>
  <si>
    <t>DESCRIPTION</t>
  </si>
  <si>
    <t>TOTAL DIV. COST</t>
  </si>
  <si>
    <t>General Requirments</t>
  </si>
  <si>
    <t>Concrete</t>
  </si>
  <si>
    <t>Masonry</t>
  </si>
  <si>
    <t>Metals</t>
  </si>
  <si>
    <t>Wood &amp; Plastics</t>
  </si>
  <si>
    <t>Thermal &amp; Moisture Protection</t>
  </si>
  <si>
    <t>Opening</t>
  </si>
  <si>
    <t>Finishes</t>
  </si>
  <si>
    <t>Specialties</t>
  </si>
  <si>
    <t>Equipmets</t>
  </si>
  <si>
    <t>Furnishing</t>
  </si>
  <si>
    <t>Plumbing</t>
  </si>
  <si>
    <t>HVAC</t>
  </si>
  <si>
    <t>Electrical</t>
  </si>
  <si>
    <t>TOTAL TRADE COST</t>
  </si>
  <si>
    <t>CONTINGENCY</t>
  </si>
  <si>
    <t>OVERHEAD &amp; PROFIT (15%)</t>
  </si>
  <si>
    <t>TAX (7%)</t>
  </si>
  <si>
    <t>PERFORMANCE AND PAYMENT BONDS</t>
  </si>
  <si>
    <t>TOTAL BASEBID</t>
  </si>
  <si>
    <t>DETAILED BREAKDOWN OF ITEMS</t>
  </si>
  <si>
    <t>Project Name</t>
  </si>
  <si>
    <t>Sterling Residence</t>
  </si>
  <si>
    <t>Project Address</t>
  </si>
  <si>
    <t>Captains Watch Lake Murray, Lexington, SC</t>
  </si>
  <si>
    <t>Scope:</t>
  </si>
  <si>
    <t>GC</t>
  </si>
  <si>
    <t>S#</t>
  </si>
  <si>
    <t>Dwg.</t>
  </si>
  <si>
    <t>CSI NO</t>
  </si>
  <si>
    <t>QTY.</t>
  </si>
  <si>
    <t>Wastage</t>
  </si>
  <si>
    <t>Qty w/ Waste</t>
  </si>
  <si>
    <t>UNIT</t>
  </si>
  <si>
    <t>UNIT LABOR HOUR</t>
  </si>
  <si>
    <t>TOTAL LABOR HOUR</t>
  </si>
  <si>
    <t>LABOR WAGE/ HOUR</t>
  </si>
  <si>
    <t>UNIT LABOR COST</t>
  </si>
  <si>
    <t>TOTAL LABOR COST</t>
  </si>
  <si>
    <t>UNIT MATERIAL  COST</t>
  </si>
  <si>
    <t>TOTAL MATERIAL COST</t>
  </si>
  <si>
    <t>UNIT PRICE (Labor &amp; Material)</t>
  </si>
  <si>
    <t>TRADE TOTAL</t>
  </si>
  <si>
    <t>DIVISION 01-GENERAL REQUIREMENTS</t>
  </si>
  <si>
    <t>Permits</t>
  </si>
  <si>
    <t>LS</t>
  </si>
  <si>
    <t>Supervision and Coordination</t>
  </si>
  <si>
    <t>Submittals and Shop drawings</t>
  </si>
  <si>
    <t>Final Cleaning</t>
  </si>
  <si>
    <t>Mobilization Costs</t>
  </si>
  <si>
    <t>Temporary Control &amp; Facilities</t>
  </si>
  <si>
    <t>Scaffolding</t>
  </si>
  <si>
    <t>SUBTOTAL</t>
  </si>
  <si>
    <t>DIVISION 03- CONCRETE</t>
  </si>
  <si>
    <t>FOOTING</t>
  </si>
  <si>
    <t>CONTI. FOOTING:</t>
  </si>
  <si>
    <t>(4'-0" X 1'-2") Concrete Strip Footing (837 SF)
(4)#5 Bars 
(2)5 Bars @12" O.C.</t>
  </si>
  <si>
    <t>CY</t>
  </si>
  <si>
    <t>Reinforcement:
(5)#5 Bars 
(2)#5 Bars @12" O.C.
#4 Dowel Bars @12" O.C.</t>
  </si>
  <si>
    <t>LBS</t>
  </si>
  <si>
    <t>Formwork</t>
  </si>
  <si>
    <t>SF</t>
  </si>
  <si>
    <t>(3'-0" X 1'-2") Concrete Strip Footing (843 SF)
- (4)#5 Bars 
-(2)#5 Bars @12" O.C.</t>
  </si>
  <si>
    <t>Reinforcement:
(4)#5 Bars 
(2)5 Bars @12" O.C.
#4 Dowel Bars @12" O.C.</t>
  </si>
  <si>
    <t>(3'-0" X 1'-2") Concrete Strip Footing (124 LF)
- (3)#5 Bars 
#5 Dowel Bar  @ 12" O.C.</t>
  </si>
  <si>
    <t>Reinforcement:
- (3)#5 Bars 
#5 Dowel Bar  @ 12" O.C.</t>
  </si>
  <si>
    <t>(1'-6" X 2'-2") Concrete Grade Beam (170 SF)
- (5)#7 Bars Top &amp; Bottom  
- (6)#7 Bars 
- #3 Ties @ 12" O.C.</t>
  </si>
  <si>
    <t>Reinforcement:
(5)#7 Bars Top &amp; Bottom  
(6)#7 Bars 
#3 Ties @ 12" O.C.</t>
  </si>
  <si>
    <t>STEM WALL</t>
  </si>
  <si>
    <t>8" Thick Concrete Stem Wall  @ 3'-0" H.</t>
  </si>
  <si>
    <t>Reinforcement:
(2) #5 HORIZONTAL BARS AT 16" O.C</t>
  </si>
  <si>
    <t>SLAB</t>
  </si>
  <si>
    <t>4" Thick, 3000 P.S.I. Concrete Slab (10604 SF)</t>
  </si>
  <si>
    <t>Reinforce With Fibermesh.</t>
  </si>
  <si>
    <t>4" Compacted Granular Fill</t>
  </si>
  <si>
    <t>2'-03/4" Thick, 4,000 P.S.I. Cantilevered Concrete Slab (37 SF)</t>
  </si>
  <si>
    <t>Reinforcement:
(1) #5 BAR AT 12" O.C.,</t>
  </si>
  <si>
    <t>8" Thick, 4000 P.S.I. Concrete Slab (2533 SF)</t>
  </si>
  <si>
    <t>Reinforcement.
(1) #5 Bar At 12" O.C. Max. On Top Of Bottom 
(1) #4 Bar At 12" O.C.</t>
  </si>
  <si>
    <t>5" Thick 4,000 P.S.I. Normal Weight Concrete (415 SF)</t>
  </si>
  <si>
    <t>6x6-W1.4xW1.4 W.W.F.</t>
  </si>
  <si>
    <t>PILASTER</t>
  </si>
  <si>
    <t>8" X 16" Pilaster @ 4'-0"</t>
  </si>
  <si>
    <t>14" X 14" Pilaster @ 4'-0"</t>
  </si>
  <si>
    <t>RETAINING WALL</t>
  </si>
  <si>
    <t>12" Thick Concrete Retaining Wall  @ 11'-6" H. (840 LF)</t>
  </si>
  <si>
    <t>Reinforcement:
- (2) #5 Vertical Bars At 12" O.C.
- (2) #5 Horizontal Bars At 16" O.C
- #4 Bar  @ 12" O.C.</t>
  </si>
  <si>
    <t>8" Thick Concrete Retaining Wall  @ 11'-6" H. (32 LF)</t>
  </si>
  <si>
    <t>Reinforcement:
- (2) #5 Vertical Bars At 12" O.C.
- (2) #5 Horizontal Bars At 16" O.C</t>
  </si>
  <si>
    <t>BEAM</t>
  </si>
  <si>
    <t>12" Wide X 3'-9" Deep 4,000 Psi Concrete Beam. (26 LF)</t>
  </si>
  <si>
    <t>Reinforcement
(10) #5 Vert. Bars 
 #3 Ties At 12" O.C.</t>
  </si>
  <si>
    <t>8" Wide X 1'-8" Deep 4,000 Psi Concrete Beam. (93 LF)</t>
  </si>
  <si>
    <t>Reinforcement
(6) #5 Vert. Bars
 #3 Ties At 12" O.C.</t>
  </si>
  <si>
    <t>(1'-0" Wide X 2'-0" Deep) Min. Concrete Lintel. (4 LF)</t>
  </si>
  <si>
    <t>Reinforcement
(2) #5 Bars At Top &amp; Bottom With 
 #3 Ties At 12" O.C.</t>
  </si>
  <si>
    <t>(16" Wide X 16" Deep) 4,000 Psi Concrete Beam (115 LF)</t>
  </si>
  <si>
    <t>Reinforcement
(3) #5 Bars Top &amp; Bottom 
 #3 Ties At 12" O.C.</t>
  </si>
  <si>
    <t>EXCAVATION</t>
  </si>
  <si>
    <t>Cut</t>
  </si>
  <si>
    <t>Backfill</t>
  </si>
  <si>
    <t>DIVISION 04-MASONRY</t>
  </si>
  <si>
    <t>CMU WALL</t>
  </si>
  <si>
    <t>8" CMU Wall @10'-0"</t>
  </si>
  <si>
    <t>#5 bar @ 48" O.C.</t>
  </si>
  <si>
    <t>Grouting</t>
  </si>
  <si>
    <t>DIVISION 05- METALS</t>
  </si>
  <si>
    <t>STEEL BEAM</t>
  </si>
  <si>
    <t>W18X35</t>
  </si>
  <si>
    <t>W21X62</t>
  </si>
  <si>
    <t>W10X19</t>
  </si>
  <si>
    <t>STEEL ANGLE</t>
  </si>
  <si>
    <t>L 7" X 4" X 3/8" Thick Cont. Steel Angle.</t>
  </si>
  <si>
    <t>LF</t>
  </si>
  <si>
    <t>L 6"X 4" X 5/16" Steel Angle.</t>
  </si>
  <si>
    <t>Rolled Long Span Steel Angle/Lintel.</t>
  </si>
  <si>
    <t>STEEL COLUMN</t>
  </si>
  <si>
    <t>4" x 4" x 3/8" HSS Column @11'-6"</t>
  </si>
  <si>
    <t>EA</t>
  </si>
  <si>
    <t>4" x 4" x 5/16" HSS Column @11'-6"</t>
  </si>
  <si>
    <t>HARDWARE</t>
  </si>
  <si>
    <t>HUC410</t>
  </si>
  <si>
    <t>HUC416</t>
  </si>
  <si>
    <t>SIMPSON HGUS5.50</t>
  </si>
  <si>
    <t>SIMPSON HHUS7.25</t>
  </si>
  <si>
    <t>HORIZONTAL SIMPSON CS16 STRAPS</t>
  </si>
  <si>
    <t>HDU4-SDS2.5</t>
  </si>
  <si>
    <t>SIMPSON CS14 STRAPS</t>
  </si>
  <si>
    <t>SIMPSON HUCQ412-SDS HANGER.</t>
  </si>
  <si>
    <t>SIMPSON LGUM410-SDS HANGER.</t>
  </si>
  <si>
    <t>SIMPSON TITEN THDB75700HMG</t>
  </si>
  <si>
    <t>SIMPSON TITEN THDB62500HMG</t>
  </si>
  <si>
    <t>SIMPSON SDWS22500DB</t>
  </si>
  <si>
    <t>SIMPSON SDWS22600DB</t>
  </si>
  <si>
    <t>SIMPSON H2.5A</t>
  </si>
  <si>
    <t>SIMPSON H10A</t>
  </si>
  <si>
    <t>HU9 HANGER</t>
  </si>
  <si>
    <t>HU210-2 HANGER</t>
  </si>
  <si>
    <t>SIMPSON LUS210-2 HANGER.</t>
  </si>
  <si>
    <t>SIMPSON LUS28-2 HANGER.</t>
  </si>
  <si>
    <t>STEEL BOLTS</t>
  </si>
  <si>
    <t>5/8" Dia. Thru-Bolts.</t>
  </si>
  <si>
    <t>DIVISION 06- WOOD, PLASTIC &amp; COMPOSITES</t>
  </si>
  <si>
    <t>FLOOR JOIST</t>
  </si>
  <si>
    <t>2" X 10" Floor Joist @ 16" O.C.</t>
  </si>
  <si>
    <t>WOOD POST &amp; STUDS</t>
  </si>
  <si>
    <t>(6) 2" X 6" Stud @ 11'-6"</t>
  </si>
  <si>
    <t>(5) 2" X 6" Stud @ 11'-6"</t>
  </si>
  <si>
    <t>(4) 2" X 6" Stud @ 11'-6"</t>
  </si>
  <si>
    <t>(3) 2" X 6" Stud @ 11'-6"</t>
  </si>
  <si>
    <t>(4) 2" X 12" Stud @ 11'-6"</t>
  </si>
  <si>
    <t>8" X 8" Post @ 11'-6"</t>
  </si>
  <si>
    <t>WOOD HEADERS &amp; BEAMS</t>
  </si>
  <si>
    <t>LVL 3-1/2 X 11-7/8 Beam</t>
  </si>
  <si>
    <t>LVL 3-1/2 X 14 Beam</t>
  </si>
  <si>
    <t>LVL 3-1/2 X 24 Beam</t>
  </si>
  <si>
    <t>LVL 5-1/4 X 11-7/8 Beam</t>
  </si>
  <si>
    <t>LVL 5-1/4 X 14 Beam</t>
  </si>
  <si>
    <t>LVL 5-1/4 X 16 Beam</t>
  </si>
  <si>
    <t>LVL 5-1/4 X 20 Beam</t>
  </si>
  <si>
    <t>LVL 5-1/4 X 24 Beam</t>
  </si>
  <si>
    <t>LVL 7 X 24 Beam</t>
  </si>
  <si>
    <t>LVL 1 3/4 X 9 1/4  Beam</t>
  </si>
  <si>
    <t>LVL 1 3/4 X 11 7/8  Beam</t>
  </si>
  <si>
    <t>(3) 2" X 8" Header</t>
  </si>
  <si>
    <t>(3) 2" X 10" Header</t>
  </si>
  <si>
    <t>(2) 2" X 12" Header</t>
  </si>
  <si>
    <t>2" X 10" Beam</t>
  </si>
  <si>
    <t>GIRDER TRUSS</t>
  </si>
  <si>
    <t>Roof Girder Truss</t>
  </si>
  <si>
    <t>SHEAR WALL</t>
  </si>
  <si>
    <t>15/32" APA Rated Wood Wall Sheathing</t>
  </si>
  <si>
    <t>RIM BOARD</t>
  </si>
  <si>
    <t>2" X 6" Rim Board</t>
  </si>
  <si>
    <t>DECK</t>
  </si>
  <si>
    <t>Vulcraft 2Vli16 Composite Deck</t>
  </si>
  <si>
    <t>SHEATHING</t>
  </si>
  <si>
    <t>19/32" APA Rated Wood Roof Sheathing</t>
  </si>
  <si>
    <t>4x8 No of Sheets</t>
  </si>
  <si>
    <t>8d Nails At Edge Spacing = 6" O.C. &amp; Field Spacing = 12" O.C.</t>
  </si>
  <si>
    <t>23/32" APA Rated Wood Floor Sheathing</t>
  </si>
  <si>
    <t>4x8 No of  Sheets</t>
  </si>
  <si>
    <t>TRUSSES</t>
  </si>
  <si>
    <t>24" Deep Engineered Wood Floor Trusses @ 19.2" O.C.</t>
  </si>
  <si>
    <t>24" Deep Engineered Wood Floor Trusses @ 16" O.C.</t>
  </si>
  <si>
    <t>12" Deep Engineered Wood Floor Trusses @ 19.2" O.C.</t>
  </si>
  <si>
    <t>STAIRS STRINGERS</t>
  </si>
  <si>
    <t>2" X 12" Stair Stringer</t>
  </si>
  <si>
    <t>STAIRS</t>
  </si>
  <si>
    <t>(4'-0" Wide) Wood Stair W/
-11" Treads (18 EA)
- 7 1/4" Risers (19 EA)</t>
  </si>
  <si>
    <t>(4'-6" Wide) Wood Stair W/_x000D_
-11" Treads (3 EA)_x000D_
- 7 1/4" Risers (2 EA)</t>
  </si>
  <si>
    <t>(4'-6" Wide) Wood Stair W/_x000D_
-11" Treads (18 EA)_x000D_
- 7 1/4" Risers (19 EA)_x000D_
-(4'-0"x4'-4") Landing (1 EA)</t>
  </si>
  <si>
    <t>(4'-6" Wide) Wood Stair W/_x000D_
-11" Treads (18 EA)_x000D_
- 7 1/4" Risers (19 EA)</t>
  </si>
  <si>
    <t>(8'-4" Wide) Wood Stair W/_x000D_
-11" Treads (3 EA)_x000D_
- 7 1/2" Risers (4 EA)_x000D_
-(7'-10"x4'-10") Landing (1 EA)</t>
  </si>
  <si>
    <t>ROOF RAFTERS</t>
  </si>
  <si>
    <t>2" X 6" Over-Built Rafters At 16" O.C.</t>
  </si>
  <si>
    <t>2" X 8" Over-Built Rafters At 16" O.C.</t>
  </si>
  <si>
    <t>2" X 10" Rafters At 16" O.C.</t>
  </si>
  <si>
    <t>ROOF TRUSSES</t>
  </si>
  <si>
    <t>Engineered Wood Roof Trusses @ 19.2" O.C.</t>
  </si>
  <si>
    <t>Engineered Wood Roof Jack Trusses @ 19.2" O.C.</t>
  </si>
  <si>
    <r>
      <rPr>
        <sz val="12"/>
        <color rgb="FF000000"/>
        <rFont val="Calibri"/>
        <charset val="134"/>
      </rPr>
      <t xml:space="preserve">Roof Girder Truss 
</t>
    </r>
    <r>
      <rPr>
        <sz val="12"/>
        <color rgb="FFFF0000"/>
        <rFont val="Calibri"/>
        <charset val="134"/>
      </rPr>
      <t>By Truss Supplier</t>
    </r>
  </si>
  <si>
    <t>Ridge Truss</t>
  </si>
  <si>
    <t>Hip Truss</t>
  </si>
  <si>
    <t>Valley Truss</t>
  </si>
  <si>
    <t>FINISHED CARPENTRY</t>
  </si>
  <si>
    <t>MILLWORK</t>
  </si>
  <si>
    <t>(1'-9" Deep) Vanity Base Cabinet</t>
  </si>
  <si>
    <t>(2'-0" Deep) Vanity Base Cabinet</t>
  </si>
  <si>
    <t>(1'-9" Deep) Laundry Base Cabinet</t>
  </si>
  <si>
    <t>(1'-6" Deep) Pantry Closet</t>
  </si>
  <si>
    <t>(1'-0" Deep) Laundry Upper Cabinet</t>
  </si>
  <si>
    <t>(2'-0" Deep) Walk-In Closet Base Cabinet</t>
  </si>
  <si>
    <t>(2'-0" Deep) Kitchen Base Cabinet</t>
  </si>
  <si>
    <t>(1'-0" Deep) Kitchen Upper Cabinet</t>
  </si>
  <si>
    <t>(1'-6" Wide) Walk-In Closet W/ Rod &amp; Shelves</t>
  </si>
  <si>
    <t>(1'-0" Wide) Closet W/ Rod &amp; Shelves</t>
  </si>
  <si>
    <t>(2'-0" Wide) Broom Closet</t>
  </si>
  <si>
    <t>(1'-6" Wide) Linen Closet</t>
  </si>
  <si>
    <t>(1'-9" Wide) Linen Closet</t>
  </si>
  <si>
    <t>(2'-0" Wide) Linen Closet</t>
  </si>
  <si>
    <t>(1'-6" Wide) Shelves</t>
  </si>
  <si>
    <t>(1'-6" Wide) Cubbies</t>
  </si>
  <si>
    <t>(1'-6" Wide) Seat W/ Hooks Over Cubbies</t>
  </si>
  <si>
    <t>(1'-6" Wide) TV Cabinet</t>
  </si>
  <si>
    <t>DIVISION 07-THERMAL &amp; MOISTURE PROTECTION</t>
  </si>
  <si>
    <t>INSULATION</t>
  </si>
  <si>
    <t>CEILING INSULATION:</t>
  </si>
  <si>
    <r>
      <rPr>
        <sz val="12"/>
        <color theme="1"/>
        <rFont val="Calibri"/>
        <charset val="134"/>
      </rPr>
      <t xml:space="preserve">R-30 Ceiling Insulation </t>
    </r>
    <r>
      <rPr>
        <sz val="12"/>
        <color rgb="FFFF0000"/>
        <rFont val="Calibri"/>
        <charset val="134"/>
      </rPr>
      <t>(Assumed)</t>
    </r>
  </si>
  <si>
    <t>ROOF INSULATION:</t>
  </si>
  <si>
    <r>
      <rPr>
        <sz val="12"/>
        <color theme="1"/>
        <rFont val="Calibri"/>
        <charset val="134"/>
      </rPr>
      <t xml:space="preserve">R-49 Roof Insulation </t>
    </r>
    <r>
      <rPr>
        <sz val="12"/>
        <color rgb="FFFF0000"/>
        <rFont val="Calibri"/>
        <charset val="134"/>
      </rPr>
      <t>(Assumed)</t>
    </r>
  </si>
  <si>
    <t>ROOFING &amp; ACCESSORIES</t>
  </si>
  <si>
    <t>ROOFING:</t>
  </si>
  <si>
    <t>Natural Slate Roof</t>
  </si>
  <si>
    <t>Metal Roof</t>
  </si>
  <si>
    <t>Rigid Insulation</t>
  </si>
  <si>
    <t>Felt Paper</t>
  </si>
  <si>
    <t>FLASHING &amp; TRIMS:</t>
  </si>
  <si>
    <t>Ridge Flashing</t>
  </si>
  <si>
    <t>Hip Flashing</t>
  </si>
  <si>
    <t>Valley Flashing</t>
  </si>
  <si>
    <t>ROOF ACCESSORIES:</t>
  </si>
  <si>
    <t>Ridge Cap</t>
  </si>
  <si>
    <t>Ridge Vent</t>
  </si>
  <si>
    <t>Treated Wood Bracket</t>
  </si>
  <si>
    <t>Vented Vinyl Soffit</t>
  </si>
  <si>
    <t>Gutter</t>
  </si>
  <si>
    <t>Downspout</t>
  </si>
  <si>
    <t>DIVISION 08- OPENINGS</t>
  </si>
  <si>
    <t>DOORS</t>
  </si>
  <si>
    <t>(14"-4" X 10'-0") 4 Panel Sliding Glass Door W/ Frame</t>
  </si>
  <si>
    <t>(14"-4" X 8'-0") 4 Panel Sliding Glass Door W/ Frame</t>
  </si>
  <si>
    <t>(7'-0" X 10'-0") Double Leaf Exterior 3/4" Glass / Wood Paneled Door W/ Frame</t>
  </si>
  <si>
    <t>(6'-0" X 8'-0") Double Leaf Exterior Paneled Door W/ Frame</t>
  </si>
  <si>
    <t>(6'-0" X 8'-0") Double Leaf Exterior Door W/ Frame</t>
  </si>
  <si>
    <t>(3'-0" X 8'-0") Single Leaf Exterior Paneled Door W/ Frame</t>
  </si>
  <si>
    <t>(3'-0" X 8'-0") Single Leaf Exterior 3/4" Glass Door W/ Frame</t>
  </si>
  <si>
    <t>(3'-0" X 8'-0") Single Leaf Exterior Door W/ Frame</t>
  </si>
  <si>
    <t>(2'-8" X 8'-0") Single Leaf Exterior Door W/ Frame</t>
  </si>
  <si>
    <t>(3'-0" X 8'-0") Single Leaf Exterior French Door W/ Frame_x000D_
- (2'-0") Transom Over</t>
  </si>
  <si>
    <t>(2'-6" X 8'-0") Single Leaf Exterior French Door W/ Frame_x000D_
- (2'-0") Transom Over</t>
  </si>
  <si>
    <t>(2'-8" X 6'-8") Single Leaf Exterior Door W/ Frame</t>
  </si>
  <si>
    <t>(12'-0" X 10'-0") Exterior Sliding Glass Door W/ Frame</t>
  </si>
  <si>
    <t>(5'-0" X 6'-8") Double Leaf Door W/ Frame</t>
  </si>
  <si>
    <t>(4'-0" X 6'-8") Double Leaf Door W/ Frame</t>
  </si>
  <si>
    <t>(3'-0" X 6'-8") Double Leaf Door W/ Frame</t>
  </si>
  <si>
    <t>(3'-0" X 6'-8") Single Leaf Door W/ Frame</t>
  </si>
  <si>
    <t>(2'-8" X 6'-8") Single Leaf Door W/ Frame</t>
  </si>
  <si>
    <t>(2'-6" X 6'-8") Single Leaf Door W/ Frame</t>
  </si>
  <si>
    <t>(2'-4" X 6'-8") Single Leaf Door W/ Frame</t>
  </si>
  <si>
    <t>(2'-0" X 6'-8") Single Leaf Door W/ Frame</t>
  </si>
  <si>
    <t>(3'-0" X 6'-8") Single Leaf Metal Door W/ Metal Frame</t>
  </si>
  <si>
    <t>(2'-6" X 6'-8") Single Leaf Frosted Glass Door W/ Frame</t>
  </si>
  <si>
    <t>(2'-8" X 6'-8") Pocket Door W/ Frame</t>
  </si>
  <si>
    <t>(4'-0" X 6'-8") Double Pocket Door W/ Frame</t>
  </si>
  <si>
    <t>(4'-0" X 6'-8") Double Pocket French Door W/ Frame</t>
  </si>
  <si>
    <t>(2'-6" X 6'-8") Pocket Door W/ Frame</t>
  </si>
  <si>
    <t>(2'-4" X 6'-8") Pocket Door W/ Frame</t>
  </si>
  <si>
    <t>(12'-0" X 10'-0") Arched Overhead Garage Door W/ Frame</t>
  </si>
  <si>
    <t>DOORS HARDWARES</t>
  </si>
  <si>
    <t>Allowance For Door Hardware's</t>
  </si>
  <si>
    <t>WINDOWS</t>
  </si>
  <si>
    <t>(3'-0" X 6'-0") Double Hung Window 2/2 Lites W/ Frame
- (2'-0") Transom Over</t>
  </si>
  <si>
    <t>(3'-0" X 5'-0") Double Hung Window 2/2 Lites W/ Frame
- (2'-0") Transom Over</t>
  </si>
  <si>
    <t>(2'-8" X 5'-0") Double Hung Window 2/2 Lites W/ Frame 
- (2'-0") Transom Over</t>
  </si>
  <si>
    <t>(3'-0" X 6'-0") Double Hung Window 2/2 Lites W/ Frame</t>
  </si>
  <si>
    <t>(3'-0" X 6'-6") Double Hung Window 2/2 Lites W/ Frame</t>
  </si>
  <si>
    <t>(3'-0" X 5'-6") Double Hung Window 2/2 Lites W/ Frame</t>
  </si>
  <si>
    <t>(3'-0" X 5'-6") Casement Window 4 Lites W/ Frame</t>
  </si>
  <si>
    <t>(3'-0" X 4'-6") Casement Window 4 Lites W/ Frame</t>
  </si>
  <si>
    <t>(3'-0" X 3'-0") Fixed Window 2 Lites W/ Frame</t>
  </si>
  <si>
    <t>(10'-0" X 7'-0") Hydraulic Lift Window</t>
  </si>
  <si>
    <t>CASED OPENING</t>
  </si>
  <si>
    <t>(2'-6" X 8'-0") Cased Opening</t>
  </si>
  <si>
    <t>(2'-8" X 8'-0") Cased Opening</t>
  </si>
  <si>
    <t>(3'-0" X 8'-0") Cased Opening</t>
  </si>
  <si>
    <t>(4'-0" X 8'-0") Cased Opening</t>
  </si>
  <si>
    <t>(4'-6" X 8'-0") Cased Opening</t>
  </si>
  <si>
    <t>ATTIC ACCESS</t>
  </si>
  <si>
    <t>(4'-0" X 2'-0") Attic Access</t>
  </si>
  <si>
    <t>MISCELLANEOUS</t>
  </si>
  <si>
    <t>Phantom Screen</t>
  </si>
  <si>
    <t>DIVISION 09- FINISHES</t>
  </si>
  <si>
    <t/>
  </si>
  <si>
    <t>WALLS</t>
  </si>
  <si>
    <t>EXTERIOR WALLS</t>
  </si>
  <si>
    <t>2x4, Knee Wall (4'-0"High)</t>
  </si>
  <si>
    <t>2x4 Wood Stud @ 16" O.C.</t>
  </si>
  <si>
    <t>2x4 Top Plate &amp; Mid Span Blocking</t>
  </si>
  <si>
    <t>2x4 P.T. Bottom Plate</t>
  </si>
  <si>
    <t>2x6, Knee Wall (4'-0"High)</t>
  </si>
  <si>
    <t>2x6 Wood Stud @ 16" O.C.</t>
  </si>
  <si>
    <t>2x6 Top Plate &amp; Mid Span Blocking</t>
  </si>
  <si>
    <t>2x6 P.T. Bottom Plate</t>
  </si>
  <si>
    <t>2X6 Exterior Wall</t>
  </si>
  <si>
    <t>1/2" Plywood Sheathing On Exterior Side</t>
  </si>
  <si>
    <t>5/8" Gypsum Board On Interior Side</t>
  </si>
  <si>
    <t>Drywall Screws</t>
  </si>
  <si>
    <t>Tape Joints</t>
  </si>
  <si>
    <t>Mudding</t>
  </si>
  <si>
    <t>LBs</t>
  </si>
  <si>
    <t>5/8" Type-X Gypsum Board On Interior Side</t>
  </si>
  <si>
    <t>5/8" Moisture Resistant Gypsum Board On Interior Side</t>
  </si>
  <si>
    <r>
      <rPr>
        <sz val="12"/>
        <color theme="1"/>
        <rFont val="Calibri"/>
        <charset val="134"/>
      </rPr>
      <t xml:space="preserve">R-25 Batts Insulation </t>
    </r>
    <r>
      <rPr>
        <sz val="12"/>
        <color rgb="FFFF0000"/>
        <rFont val="Calibri"/>
        <charset val="134"/>
      </rPr>
      <t>(Assumed)</t>
    </r>
  </si>
  <si>
    <t>Vapor Barrier</t>
  </si>
  <si>
    <t>House Wrap</t>
  </si>
  <si>
    <t>2x6 Top Plate &amp; Bottom Plates</t>
  </si>
  <si>
    <t>Mid Span Blocking</t>
  </si>
  <si>
    <t>Sealant</t>
  </si>
  <si>
    <t>Fire Stopping Sealant</t>
  </si>
  <si>
    <t>INTERIOR WALLS</t>
  </si>
  <si>
    <t>2X6 Interior Wall</t>
  </si>
  <si>
    <r>
      <rPr>
        <sz val="12"/>
        <color theme="1"/>
        <rFont val="Calibri"/>
        <charset val="134"/>
      </rPr>
      <t xml:space="preserve">R-13 Batts Insulation </t>
    </r>
    <r>
      <rPr>
        <sz val="12"/>
        <color rgb="FFFF0000"/>
        <rFont val="Calibri"/>
        <charset val="134"/>
      </rPr>
      <t>(Assumed)</t>
    </r>
  </si>
  <si>
    <t>2X6 Furring Wall</t>
  </si>
  <si>
    <t>2X4 Interior Wall</t>
  </si>
  <si>
    <t>2x4 Top Plate &amp; Bottom Plates</t>
  </si>
  <si>
    <t>2X4 Furring Wall</t>
  </si>
  <si>
    <t>2X8 Interior Wall</t>
  </si>
  <si>
    <t>2X10 Interior Wall</t>
  </si>
  <si>
    <t>FLOORING</t>
  </si>
  <si>
    <t>Wood Flooring</t>
  </si>
  <si>
    <t>Sealed Concrete</t>
  </si>
  <si>
    <t>Bluestone Flooring</t>
  </si>
  <si>
    <t>Tile Flooring</t>
  </si>
  <si>
    <t>Rubber Flooring</t>
  </si>
  <si>
    <t>Brick Flooring</t>
  </si>
  <si>
    <t>BASE &amp; TRIMS</t>
  </si>
  <si>
    <t>4" Thick Wood Wall Base</t>
  </si>
  <si>
    <t>4" Thick Rubber Wall Base</t>
  </si>
  <si>
    <t>1 Pc Crown Molding</t>
  </si>
  <si>
    <t>2 Pc Crown Molding</t>
  </si>
  <si>
    <t>Door Trims</t>
  </si>
  <si>
    <t>Window Trims</t>
  </si>
  <si>
    <t>CEILING</t>
  </si>
  <si>
    <t>One Layer of 1/2" Gypsum Ceiling</t>
  </si>
  <si>
    <t>One Layer of 1/2" Moisture Resistant Gypsum Ceiling</t>
  </si>
  <si>
    <t>One Layer of 1/2" Type X Gypsum Ceiling</t>
  </si>
  <si>
    <t>One Layer of 1/2" Exterior Grade Gypsum Ceiling</t>
  </si>
  <si>
    <t>V-Groove Wood Ceiling</t>
  </si>
  <si>
    <t>Wood Ceiling @ Sauna</t>
  </si>
  <si>
    <t>Paint @ Gypsum Board Ceiling</t>
  </si>
  <si>
    <t>Paint @ V-Groove Wood Ceiling</t>
  </si>
  <si>
    <t>WALL FINISH</t>
  </si>
  <si>
    <t>Paint on Gypsum Board Wall</t>
  </si>
  <si>
    <t>Wall Tile @ Bathroom</t>
  </si>
  <si>
    <t>Wooden Wall Finish @ Sauna</t>
  </si>
  <si>
    <t>Wood Paneling</t>
  </si>
  <si>
    <t>Thin Brick</t>
  </si>
  <si>
    <t>EXTERIOR FINISHES</t>
  </si>
  <si>
    <t>Brick Veneer</t>
  </si>
  <si>
    <t>Horizontal Siding</t>
  </si>
  <si>
    <t>1X2 Trim Board</t>
  </si>
  <si>
    <t>1X8 Trim Board</t>
  </si>
  <si>
    <t>1X6 Trim Board</t>
  </si>
  <si>
    <t>1X6 Frieze Board</t>
  </si>
  <si>
    <t>12" Brick Header</t>
  </si>
  <si>
    <t>4" Brick Sill</t>
  </si>
  <si>
    <t>12" Brick Arch</t>
  </si>
  <si>
    <t>2" Wood Sill</t>
  </si>
  <si>
    <t>4" Brick Rowlock</t>
  </si>
  <si>
    <t>Beam Mantle</t>
  </si>
  <si>
    <t>Column Wrap</t>
  </si>
  <si>
    <t>MISC. PAINT</t>
  </si>
  <si>
    <t>Paint @ (14"-4" X 10'-0") 4 Panel Sliding Glass Door W/ Frame</t>
  </si>
  <si>
    <t>Paint @ (14"-4" X 8'-0") 4 Panel Sliding Glass Door W/ Frame</t>
  </si>
  <si>
    <t>Paint @ (7'-0" X 10'-0") Double Leaf Exterior 3/4" Glass / Wood Paneled Door W/ Frame</t>
  </si>
  <si>
    <t>Paint @ (6'-0" X 8'-0") Double Leaf Exterior Paneled Door W/ Frame</t>
  </si>
  <si>
    <t>Paint @ (6'-0" X 8'-0") Double Leaf Exterior Door W/ Frame</t>
  </si>
  <si>
    <t>Paint @ (3'-0" X 8'-0") Single Leaf Exterior Paneled Door W/ Frame</t>
  </si>
  <si>
    <t>Paint @ (3'-0" X 8'-0") Single Leaf Exterior 3/4" Glass Door W/ Frame</t>
  </si>
  <si>
    <t>Paint @ (3'-0" X 8'-0") Single Leaf Exterior Door W/ Frame</t>
  </si>
  <si>
    <t>Paint @ (2'-8" X 8'-0") Single Leaf Exterior Door W/ Frame</t>
  </si>
  <si>
    <t>Paint @ (3'-0" X 8'-0") Single Leaf Exterior French Door W/ Frame</t>
  </si>
  <si>
    <t>Paint @ (2'-6" X 8'-0") Single Leaf Exterior French Door W/ Frame</t>
  </si>
  <si>
    <t>Paint @ (2'-8" X 6'-8") Single Leaf Exterior Door W/ Frame</t>
  </si>
  <si>
    <t>Paint @ (12'-0" X 10'-0") Exterior Sliding Glass Door W/ Frame</t>
  </si>
  <si>
    <t>Paint @ (5'-0" X 6'-8") Double Leaf Door W/ Frame</t>
  </si>
  <si>
    <t>Paint @ (4'-0" X 6'-8") Double Leaf Door W/ Frame</t>
  </si>
  <si>
    <t>Paint @ (3'-0" X 6'-8") Double Leaf Door W/ Frame</t>
  </si>
  <si>
    <t>Paint @ (3'-0" X 6'-8") Single Leaf Door W/ Frame</t>
  </si>
  <si>
    <t>Paint @ (2'-8" X 6'-8") Single Leaf Door W/ Frame</t>
  </si>
  <si>
    <t>Paint @ (2'-6" X 6'-8") Single Leaf Door W/ Frame</t>
  </si>
  <si>
    <t>Paint @ (2'-4" X 6'-8") Single Leaf Door W/ Frame</t>
  </si>
  <si>
    <t>Paint @ (2'-0" X 6'-8") Single Leaf Door W/ Frame</t>
  </si>
  <si>
    <t>Paint @ (3'-0" X 6'-8") Single Leaf Metal Door W/ Metal Frame</t>
  </si>
  <si>
    <t>Paint @ (2'-6" X 6'-8") Single Leaf Frosted Glass Door W/ Frame</t>
  </si>
  <si>
    <t>Paint @ (2'-8" X 6'-8") Pocket Door W/ Frame</t>
  </si>
  <si>
    <t>Paint @ (4'-0" X 6'-8") Double Pocket Door W/ Frame</t>
  </si>
  <si>
    <t>Paint @ (4'-0" X 6'-8") Double Pocket French Door W/ Frame</t>
  </si>
  <si>
    <t>Paint @ (2'-6" X 6'-8") Pocket Door W/ Frame</t>
  </si>
  <si>
    <t>Paint @ (2'-4" X 6'-8") Pocket Door W/ Frame</t>
  </si>
  <si>
    <t>Paint @ (12'-0" X 10'-0") Arched Overhead Garage Door W/ Frame</t>
  </si>
  <si>
    <t>Paint @ 1 Pc Crown Molding</t>
  </si>
  <si>
    <t>Paint @ 2 Pc Crown Molding</t>
  </si>
  <si>
    <t>Paint @ Door Trims</t>
  </si>
  <si>
    <t>Paint @ Window Trims</t>
  </si>
  <si>
    <t>Paint @ Brick Veneer</t>
  </si>
  <si>
    <t>Paint @ Horizontal Siding</t>
  </si>
  <si>
    <t>Paint @ 1X2 Trim Board</t>
  </si>
  <si>
    <t>Paint @ 1X8 Trim Board</t>
  </si>
  <si>
    <t>Paint @ 1X6 Trim Board</t>
  </si>
  <si>
    <t>Paint @ 1X6 Frieze Board</t>
  </si>
  <si>
    <t>Paint @ 12" Brick Header</t>
  </si>
  <si>
    <t>Paint @ (3'-0" High) IPEA Handrail W/ Cable Rails</t>
  </si>
  <si>
    <t>Paint @ (3'-0" High) Wood Rail</t>
  </si>
  <si>
    <t>Paint @ (3'-0" High) Handrail</t>
  </si>
  <si>
    <t>DIVISION 10- SPECIALTIES</t>
  </si>
  <si>
    <t>SPECIALTIES</t>
  </si>
  <si>
    <t>60" Isokern Magnum Fireplace W/ Gas Connection &amp; Flush Hearth</t>
  </si>
  <si>
    <t>54" Isokern Magnum Fireplace W/ Gas Connection &amp; Flush Hearth</t>
  </si>
  <si>
    <t>(2'-6" X 2'-0") Closet Safe</t>
  </si>
  <si>
    <t>ELEVATOR</t>
  </si>
  <si>
    <t>(4'-2" X 5'-4") Service Elevator - 2 Stops_x000D_
- Mfr: Residential Elevators_x000D_
- Model: HOR HP2 A 15</t>
  </si>
  <si>
    <t>TOILET ACCESSORIES</t>
  </si>
  <si>
    <t>7' High Glass Shower Partition Wall W/ Frameless Glass Door</t>
  </si>
  <si>
    <t>(1'-4" Wide) Shower Seat</t>
  </si>
  <si>
    <t>(0'-6" X 3'-0") Niche Below Window</t>
  </si>
  <si>
    <t>(24" X 36" ) Bath Mirror</t>
  </si>
  <si>
    <t>Soap Dispenser</t>
  </si>
  <si>
    <t>Paper Towel Dispenser</t>
  </si>
  <si>
    <t>Toilet Tissue Dispenser</t>
  </si>
  <si>
    <t>24" S.S. Grab Bar</t>
  </si>
  <si>
    <t>36" S.S. Grab Bar</t>
  </si>
  <si>
    <t>42" S.S. Grab Bar</t>
  </si>
  <si>
    <t>Coat Hook</t>
  </si>
  <si>
    <t>Towel Bar</t>
  </si>
  <si>
    <t>Waste Receptacle</t>
  </si>
  <si>
    <t>Medicine Box</t>
  </si>
  <si>
    <t>DIVISION 11-EQUIPMENTS</t>
  </si>
  <si>
    <t>EQUIPMENTS</t>
  </si>
  <si>
    <t>Washer</t>
  </si>
  <si>
    <t>Dryer</t>
  </si>
  <si>
    <t>Drop Down TV</t>
  </si>
  <si>
    <t>Trash Can</t>
  </si>
  <si>
    <t>Waste Disposal</t>
  </si>
  <si>
    <t>Dishwasher</t>
  </si>
  <si>
    <t>Ice Machine</t>
  </si>
  <si>
    <t>Oven</t>
  </si>
  <si>
    <t>Refrigerator</t>
  </si>
  <si>
    <t>Freezer</t>
  </si>
  <si>
    <t>Gas Range W/ Hood</t>
  </si>
  <si>
    <t>Burner W/ Hood</t>
  </si>
  <si>
    <t>36" Blackstone</t>
  </si>
  <si>
    <t>36" Recteq Smoker On Wheels</t>
  </si>
  <si>
    <t>Undercounter Refrigerator</t>
  </si>
  <si>
    <t>Golf Simulator</t>
  </si>
  <si>
    <t>DIVISION 12-FURNISHING</t>
  </si>
  <si>
    <t>GUARD RAIL</t>
  </si>
  <si>
    <t>(3'-0" High) IPEA Handrail W/ Cable Rails</t>
  </si>
  <si>
    <t>(3'-0" High) Wood Rail</t>
  </si>
  <si>
    <t>(3'-0" High) Handrail</t>
  </si>
  <si>
    <t>COUNTERTOP</t>
  </si>
  <si>
    <t>6" Thick Backsplash</t>
  </si>
  <si>
    <t>Vanity Countertop</t>
  </si>
  <si>
    <t>Kitchen Countertop</t>
  </si>
  <si>
    <t>Kitchen Island Countertop</t>
  </si>
  <si>
    <t>Laundry Countertop</t>
  </si>
  <si>
    <t>Laundry Island Countertop</t>
  </si>
  <si>
    <t>Closet Countertop</t>
  </si>
  <si>
    <t>DIVISION 22- PLUMBING</t>
  </si>
  <si>
    <t>FIXTURE</t>
  </si>
  <si>
    <t>Vanity Sink W/ Faucet</t>
  </si>
  <si>
    <t>30" X 66" Freestanding Bathtub</t>
  </si>
  <si>
    <t>30" X 66"  Bathtub</t>
  </si>
  <si>
    <t>Water Closet</t>
  </si>
  <si>
    <t>Shower Head</t>
  </si>
  <si>
    <t>Pedestal Lavatory</t>
  </si>
  <si>
    <t>Double Compartment Kitchen Sink W/ Faucet</t>
  </si>
  <si>
    <t>Single Compartment Kitchen Sink W/ Faucet</t>
  </si>
  <si>
    <t>ALLOWENCE</t>
  </si>
  <si>
    <t>Allowance for Pluming Piping &amp; Accessories</t>
  </si>
  <si>
    <t>DIVISION 23- HVAC</t>
  </si>
  <si>
    <t>HVAC Unit</t>
  </si>
  <si>
    <t>Allowance for Mechanical Ducts, Fixtures &amp; Accessories</t>
  </si>
  <si>
    <t>DIVISION 26- ELECTRICAL</t>
  </si>
  <si>
    <t>LIGHT FIXTURES</t>
  </si>
  <si>
    <t>Ceiling Mounted Light Fixture</t>
  </si>
  <si>
    <t>Ceiling Mounted Light Fixture (WP)</t>
  </si>
  <si>
    <t>Recessed Can Light Fixture</t>
  </si>
  <si>
    <t>Recessed Can Light Fixture (WP)</t>
  </si>
  <si>
    <t>Wall Mounted Light Fixture</t>
  </si>
  <si>
    <t>Ceiling Fan</t>
  </si>
  <si>
    <t>Wall Mounted Light Fixture (WP)</t>
  </si>
  <si>
    <t>Ceiling Fan (WP)</t>
  </si>
  <si>
    <t>Wall Mounted Light Fixture (GAS)</t>
  </si>
  <si>
    <t>Light/Vent Fixture</t>
  </si>
  <si>
    <t>Light/Vent Fixture (WP)</t>
  </si>
  <si>
    <t>LIGHTING CONTROLS</t>
  </si>
  <si>
    <t>1 Way Switch</t>
  </si>
  <si>
    <t>3 Way Switch</t>
  </si>
  <si>
    <t>4 Way Switch</t>
  </si>
  <si>
    <t>Garage Door Switch</t>
  </si>
  <si>
    <t>Door Bell Button</t>
  </si>
  <si>
    <t>SENSORS</t>
  </si>
  <si>
    <t>Smoke Detector</t>
  </si>
  <si>
    <t>Automatic Garage Door Operator</t>
  </si>
  <si>
    <r>
      <t>PANEL</t>
    </r>
    <r>
      <rPr>
        <b/>
        <sz val="12"/>
        <color rgb="FFFF0000"/>
        <rFont val="Calibri"/>
        <charset val="134"/>
      </rPr>
      <t xml:space="preserve"> (ASSUMED)</t>
    </r>
  </si>
  <si>
    <t>400A Panel w/ Breakers</t>
  </si>
  <si>
    <t>POWER DEVICES</t>
  </si>
  <si>
    <t>Junction Box</t>
  </si>
  <si>
    <t>Duplex Receptacle</t>
  </si>
  <si>
    <t>Duplex Receptacle - GFI</t>
  </si>
  <si>
    <t>Water proof Outlet - GFI</t>
  </si>
  <si>
    <t>220V Duplex Receptacle</t>
  </si>
  <si>
    <t>Floor Mounted Flush Outlet to be Brass With Cover</t>
  </si>
  <si>
    <t>Allowance for Conduits</t>
  </si>
  <si>
    <t>Allowance for Wiring</t>
  </si>
  <si>
    <t>TOTAL LABOR HOURS</t>
  </si>
  <si>
    <t>TOTAL AMOUNT</t>
  </si>
  <si>
    <t>CONTIGENCIES (5%)</t>
  </si>
  <si>
    <t>Labor Type</t>
  </si>
  <si>
    <t>Labor Rate</t>
  </si>
  <si>
    <t>Carpenter</t>
  </si>
  <si>
    <t>CARP</t>
  </si>
  <si>
    <t>Plum</t>
  </si>
  <si>
    <t>Mechanical</t>
  </si>
  <si>
    <t>Mech</t>
  </si>
  <si>
    <t>Elec</t>
  </si>
  <si>
    <t>Earthwork</t>
  </si>
  <si>
    <t>Q14C</t>
  </si>
  <si>
    <t>Drywaller</t>
  </si>
  <si>
    <t>Finisher</t>
  </si>
  <si>
    <t>Painting</t>
  </si>
  <si>
    <t>Painter</t>
  </si>
  <si>
    <t>Tile Contractor</t>
  </si>
  <si>
    <t>Tilf</t>
  </si>
  <si>
    <t>CMU/Stone</t>
  </si>
  <si>
    <t>D8</t>
  </si>
  <si>
    <t>B14S</t>
  </si>
  <si>
    <t>Metal</t>
  </si>
  <si>
    <t>Steel</t>
  </si>
  <si>
    <t>Roofing</t>
  </si>
  <si>
    <t>Roofer</t>
  </si>
  <si>
    <t>Genral Labor</t>
  </si>
  <si>
    <t>Labor</t>
  </si>
  <si>
    <t>Each/Count</t>
  </si>
  <si>
    <t>Linear Footage</t>
  </si>
  <si>
    <t>Square Footage</t>
  </si>
  <si>
    <t>Square Yard</t>
  </si>
  <si>
    <t>SY</t>
  </si>
  <si>
    <t>Cubic Yard</t>
  </si>
  <si>
    <t>Lumpsum</t>
  </si>
  <si>
    <t>Survery</t>
  </si>
  <si>
    <t>Survey</t>
  </si>
  <si>
    <t>Stair Riser</t>
  </si>
  <si>
    <t>RISER</t>
  </si>
  <si>
    <t>Blocks Count</t>
  </si>
  <si>
    <t>BLOCKS</t>
  </si>
  <si>
    <t>Bags of Pre-Mix Mortar</t>
  </si>
  <si>
    <t>BAGS</t>
  </si>
  <si>
    <t>Linear Footage of Wall</t>
  </si>
  <si>
    <t>LF.Wall</t>
  </si>
  <si>
    <t>Pounds</t>
  </si>
  <si>
    <t>Pieces</t>
  </si>
  <si>
    <t>PCs</t>
  </si>
  <si>
    <t>Location</t>
  </si>
  <si>
    <t>LOC</t>
  </si>
  <si>
    <t>Bundle</t>
  </si>
  <si>
    <t>Rolls</t>
  </si>
  <si>
    <t>ROLLS</t>
  </si>
  <si>
    <t>Boxes</t>
  </si>
  <si>
    <t>BOX</t>
  </si>
  <si>
    <t>Holeses</t>
  </si>
  <si>
    <t>Holes</t>
  </si>
  <si>
    <t>PC</t>
  </si>
  <si>
    <t>Tubes</t>
  </si>
  <si>
    <t>Tube</t>
  </si>
  <si>
    <t>Gallons</t>
  </si>
  <si>
    <t>GA</t>
  </si>
  <si>
    <t>Square of Roofing</t>
  </si>
  <si>
    <t>SQ</t>
  </si>
  <si>
    <t>N/A</t>
  </si>
  <si>
    <t>NOTE:</t>
  </si>
  <si>
    <t>Prevailing wages have been included in this estimate in compliance with the Davis-Bacon Act.</t>
  </si>
  <si>
    <t>Material pricing is based on current market rates sourced from reputable online platforms and suppliers.</t>
  </si>
  <si>
    <t>Please note that actual costs may vary depending on site-specific conditions, unforeseen circumstances, or changes in market conditions.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</si>
</sst>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(&quot;$&quot;* #,##0.00_);_(&quot;$&quot;* \(#,##0.00\);_(&quot;$&quot;* &quot;-&quot;??_);_(@_)"/>
    <numFmt numFmtId="166" formatCode="_(&quot;$&quot;* #,##0_);_(&quot;$&quot;* \(#,##0\);_(&quot;$&quot;* &quot;-&quot;??_);_(@_)"/>
    <numFmt numFmtId="167" formatCode="000000"/>
    <numFmt numFmtId="168" formatCode="0.000"/>
    <numFmt numFmtId="169" formatCode="0.0"/>
    <numFmt numFmtId="170" formatCode="_(&quot;$&quot;* #,##0.0_);_(&quot;$&quot;* \(#,##0.0\);_(&quot;$&quot;* &quot;-&quot;??_);_(@_)"/>
    <numFmt numFmtId="171" formatCode="[$-409]d/mmm/yy;@"/>
    <numFmt numFmtId="172" formatCode="0.0%"/>
    <numFmt numFmtId="173" formatCode="_-[$$-409]* #,##0_ ;_-[$$-409]* \-#,##0\ ;_-[$$-409]* &quot;-&quot;??_ ;_-@_ "/>
    <numFmt numFmtId="174" formatCode="_-* #,##0.00_-;\-* #,##0.00_-;_-* &quot;-&quot;??_-;_-@_-"/>
  </numFmts>
  <fonts count="43">
    <font>
      <sz val="11"/>
      <color theme="1"/>
      <name val="Tw Cen MT"/>
      <charset val="134"/>
      <scheme val="minor"/>
    </font>
    <font>
      <b/>
      <sz val="11"/>
      <color theme="1"/>
      <name val="Calibri"/>
      <charset val="134"/>
    </font>
    <font>
      <sz val="11"/>
      <color theme="1"/>
      <name val="Calibri"/>
      <charset val="134"/>
    </font>
    <font>
      <b/>
      <i/>
      <sz val="11"/>
      <color theme="1"/>
      <name val="Calibri"/>
      <charset val="134"/>
    </font>
    <font>
      <b/>
      <i/>
      <sz val="12"/>
      <color theme="1"/>
      <name val="Calibri"/>
      <charset val="134"/>
    </font>
    <font>
      <b/>
      <sz val="10"/>
      <color rgb="FFFF0000"/>
      <name val="Calibri"/>
      <charset val="134"/>
    </font>
    <font>
      <sz val="10"/>
      <color theme="1"/>
      <name val="Calibri"/>
      <charset val="134"/>
    </font>
    <font>
      <sz val="12"/>
      <color theme="1"/>
      <name val="Calibri"/>
      <charset val="134"/>
    </font>
    <font>
      <sz val="12"/>
      <color indexed="8"/>
      <name val="Calibri"/>
      <charset val="134"/>
    </font>
    <font>
      <sz val="12"/>
      <color rgb="FF000000"/>
      <name val="Calibri"/>
      <charset val="134"/>
    </font>
    <font>
      <b/>
      <sz val="14"/>
      <color theme="0"/>
      <name val="Calibri"/>
      <charset val="134"/>
    </font>
    <font>
      <b/>
      <sz val="14"/>
      <color theme="1"/>
      <name val="Calibri"/>
      <charset val="134"/>
    </font>
    <font>
      <sz val="12"/>
      <name val="Calibri"/>
      <charset val="134"/>
    </font>
    <font>
      <b/>
      <sz val="12"/>
      <color theme="1"/>
      <name val="Calibri"/>
      <charset val="134"/>
    </font>
    <font>
      <b/>
      <sz val="14"/>
      <name val="Calibri"/>
      <charset val="134"/>
    </font>
    <font>
      <b/>
      <sz val="12"/>
      <color rgb="FF009A88"/>
      <name val="Calibri"/>
      <charset val="134"/>
    </font>
    <font>
      <sz val="12"/>
      <color rgb="FFFFFFFF"/>
      <name val="Calibri"/>
      <charset val="134"/>
    </font>
    <font>
      <b/>
      <sz val="12"/>
      <color rgb="FFFFFFFF"/>
      <name val="Calibri"/>
      <charset val="134"/>
    </font>
    <font>
      <sz val="12"/>
      <color indexed="9"/>
      <name val="Calibri"/>
      <charset val="134"/>
    </font>
    <font>
      <b/>
      <sz val="12"/>
      <color indexed="9"/>
      <name val="Calibri"/>
      <charset val="134"/>
    </font>
    <font>
      <b/>
      <sz val="12"/>
      <color indexed="8"/>
      <name val="Calibri"/>
      <charset val="134"/>
    </font>
    <font>
      <b/>
      <sz val="12"/>
      <color rgb="FF0000CC"/>
      <name val="Calibri"/>
      <charset val="134"/>
    </font>
    <font>
      <b/>
      <sz val="12"/>
      <color theme="6"/>
      <name val="Calibri"/>
      <charset val="134"/>
    </font>
    <font>
      <b/>
      <sz val="12"/>
      <name val="Calibri"/>
      <charset val="134"/>
    </font>
    <font>
      <sz val="12"/>
      <color rgb="FF0C0C0C"/>
      <name val="Calibri"/>
      <charset val="134"/>
    </font>
    <font>
      <b/>
      <sz val="12"/>
      <color rgb="FF000000"/>
      <name val="Calibri"/>
      <charset val="134"/>
    </font>
    <font>
      <u/>
      <sz val="12"/>
      <color rgb="FFFF0000"/>
      <name val="Calibri"/>
      <charset val="134"/>
    </font>
    <font>
      <b/>
      <sz val="12"/>
      <color rgb="FF0C0C0C"/>
      <name val="Calibri"/>
      <charset val="134"/>
    </font>
    <font>
      <u/>
      <sz val="12"/>
      <color indexed="10"/>
      <name val="Calibri"/>
      <charset val="134"/>
    </font>
    <font>
      <sz val="11"/>
      <color theme="1"/>
      <name val="Times New Roman"/>
      <charset val="134"/>
    </font>
    <font>
      <sz val="16"/>
      <color rgb="FFFFFFFF"/>
      <name val="Times New Roman"/>
      <charset val="134"/>
    </font>
    <font>
      <b/>
      <sz val="12"/>
      <color rgb="FF000000"/>
      <name val="Times New Roman"/>
      <charset val="134"/>
    </font>
    <font>
      <sz val="14"/>
      <color rgb="FFFFFFFF"/>
      <name val="Times New Roman"/>
      <charset val="134"/>
    </font>
    <font>
      <b/>
      <sz val="12"/>
      <name val="Times New Roman"/>
      <charset val="134"/>
    </font>
    <font>
      <sz val="12"/>
      <name val="Times New Roman"/>
      <charset val="134"/>
    </font>
    <font>
      <sz val="12"/>
      <color theme="1"/>
      <name val="Times New Roman"/>
      <charset val="134"/>
    </font>
    <font>
      <b/>
      <sz val="12"/>
      <color theme="1"/>
      <name val="Times New Roman"/>
      <charset val="134"/>
    </font>
    <font>
      <sz val="11"/>
      <color theme="1"/>
      <name val="Tw Cen MT"/>
      <charset val="134"/>
      <scheme val="minor"/>
    </font>
    <font>
      <sz val="12"/>
      <name val="Arial"/>
      <charset val="134"/>
    </font>
    <font>
      <sz val="11"/>
      <color rgb="FF000000"/>
      <name val="Calibri"/>
      <charset val="134"/>
    </font>
    <font>
      <b/>
      <sz val="12"/>
      <color theme="1"/>
      <name val="Tw Cen MT"/>
      <charset val="134"/>
      <scheme val="minor"/>
    </font>
    <font>
      <sz val="12"/>
      <color rgb="FFFF0000"/>
      <name val="Calibri"/>
      <charset val="134"/>
    </font>
    <font>
      <b/>
      <sz val="12"/>
      <color rgb="FFFF0000"/>
      <name val="Calibri"/>
      <charset val="134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3999145481734672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00496A"/>
        <bgColor indexed="64"/>
      </patternFill>
    </fill>
    <fill>
      <patternFill patternType="solid">
        <fgColor rgb="FF366092"/>
        <bgColor rgb="FF366092"/>
      </patternFill>
    </fill>
    <fill>
      <patternFill patternType="solid">
        <fgColor rgb="FF366092"/>
        <bgColor indexed="64"/>
      </patternFill>
    </fill>
    <fill>
      <patternFill patternType="solid">
        <fgColor rgb="FF9BC2E6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9DC3E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AEEF3"/>
        <bgColor rgb="FFDAEEF3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B6DDE8"/>
        <bgColor rgb="FFB6DDE8"/>
      </patternFill>
    </fill>
    <fill>
      <patternFill patternType="solid">
        <fgColor rgb="FF92CDDC"/>
        <bgColor rgb="FF92CDDC"/>
      </patternFill>
    </fill>
    <fill>
      <patternFill patternType="solid">
        <fgColor rgb="FFFFFFCC"/>
        <bgColor indexed="64"/>
      </patternFill>
    </fill>
  </fills>
  <borders count="4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14">
    <xf numFmtId="0" fontId="0" fillId="0" borderId="0"/>
    <xf numFmtId="44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0" fontId="37" fillId="19" borderId="43" applyNumberFormat="0" applyFont="0" applyAlignment="0" applyProtection="0"/>
    <xf numFmtId="44" fontId="37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7" fillId="0" borderId="0" applyFont="0" applyFill="0" applyBorder="0" applyAlignment="0" applyProtection="0"/>
    <xf numFmtId="0" fontId="37" fillId="0" borderId="0"/>
    <xf numFmtId="0" fontId="38" fillId="0" borderId="0"/>
    <xf numFmtId="0" fontId="37" fillId="0" borderId="0"/>
    <xf numFmtId="0" fontId="39" fillId="0" borderId="0">
      <protection locked="0"/>
    </xf>
    <xf numFmtId="9" fontId="38" fillId="0" borderId="0" applyFont="0" applyFill="0" applyBorder="0" applyAlignment="0" applyProtection="0"/>
    <xf numFmtId="9" fontId="37" fillId="0" borderId="0" applyFont="0" applyFill="0" applyBorder="0" applyAlignment="0" applyProtection="0"/>
    <xf numFmtId="1" fontId="40" fillId="2" borderId="15">
      <alignment horizontal="center" vertical="center"/>
    </xf>
  </cellStyleXfs>
  <cellXfs count="343">
    <xf numFmtId="0" fontId="0" fillId="0" borderId="0" xfId="0"/>
    <xf numFmtId="0" fontId="1" fillId="2" borderId="0" xfId="7" applyFont="1" applyFill="1"/>
    <xf numFmtId="0" fontId="2" fillId="2" borderId="0" xfId="7" applyFont="1" applyFill="1"/>
    <xf numFmtId="0" fontId="3" fillId="2" borderId="0" xfId="7" applyFont="1" applyFill="1"/>
    <xf numFmtId="0" fontId="4" fillId="3" borderId="1" xfId="7" applyFont="1" applyFill="1" applyBorder="1" applyAlignment="1">
      <alignment horizontal="center"/>
    </xf>
    <xf numFmtId="0" fontId="4" fillId="3" borderId="2" xfId="7" applyFont="1" applyFill="1" applyBorder="1" applyAlignment="1">
      <alignment horizontal="center"/>
    </xf>
    <xf numFmtId="0" fontId="3" fillId="4" borderId="3" xfId="7" applyFont="1" applyFill="1" applyBorder="1" applyAlignment="1">
      <alignment horizontal="right"/>
    </xf>
    <xf numFmtId="0" fontId="4" fillId="4" borderId="4" xfId="7" applyFont="1" applyFill="1" applyBorder="1"/>
    <xf numFmtId="44" fontId="4" fillId="4" borderId="5" xfId="6" applyFont="1" applyFill="1" applyBorder="1"/>
    <xf numFmtId="0" fontId="3" fillId="4" borderId="6" xfId="7" applyFont="1" applyFill="1" applyBorder="1" applyAlignment="1">
      <alignment horizontal="right"/>
    </xf>
    <xf numFmtId="0" fontId="4" fillId="4" borderId="0" xfId="7" applyFont="1" applyFill="1"/>
    <xf numFmtId="44" fontId="4" fillId="4" borderId="7" xfId="6" applyFont="1" applyFill="1" applyBorder="1"/>
    <xf numFmtId="0" fontId="3" fillId="4" borderId="8" xfId="7" applyFont="1" applyFill="1" applyBorder="1" applyAlignment="1">
      <alignment horizontal="right"/>
    </xf>
    <xf numFmtId="0" fontId="4" fillId="4" borderId="9" xfId="7" applyFont="1" applyFill="1" applyBorder="1"/>
    <xf numFmtId="166" fontId="4" fillId="4" borderId="10" xfId="6" applyNumberFormat="1" applyFont="1" applyFill="1" applyBorder="1"/>
    <xf numFmtId="0" fontId="4" fillId="5" borderId="3" xfId="7" applyFont="1" applyFill="1" applyBorder="1" applyAlignment="1">
      <alignment horizontal="right"/>
    </xf>
    <xf numFmtId="0" fontId="4" fillId="5" borderId="4" xfId="7" applyFont="1" applyFill="1" applyBorder="1"/>
    <xf numFmtId="9" fontId="4" fillId="5" borderId="5" xfId="12" applyFont="1" applyFill="1" applyBorder="1"/>
    <xf numFmtId="0" fontId="4" fillId="5" borderId="6" xfId="7" applyFont="1" applyFill="1" applyBorder="1"/>
    <xf numFmtId="0" fontId="4" fillId="5" borderId="0" xfId="7" applyFont="1" applyFill="1"/>
    <xf numFmtId="9" fontId="4" fillId="5" borderId="7" xfId="12" applyFont="1" applyFill="1" applyBorder="1"/>
    <xf numFmtId="0" fontId="4" fillId="5" borderId="8" xfId="7" applyFont="1" applyFill="1" applyBorder="1"/>
    <xf numFmtId="0" fontId="4" fillId="5" borderId="9" xfId="7" applyFont="1" applyFill="1" applyBorder="1"/>
    <xf numFmtId="9" fontId="4" fillId="5" borderId="10" xfId="12" applyFont="1" applyFill="1" applyBorder="1"/>
    <xf numFmtId="0" fontId="5" fillId="2" borderId="0" xfId="7" applyFont="1" applyFill="1"/>
    <xf numFmtId="0" fontId="6" fillId="2" borderId="0" xfId="7" applyFont="1" applyFill="1"/>
    <xf numFmtId="0" fontId="7" fillId="0" borderId="0" xfId="0" applyFont="1" applyAlignment="1">
      <alignment vertical="center"/>
    </xf>
    <xf numFmtId="0" fontId="7" fillId="0" borderId="0" xfId="0" applyFont="1" applyAlignment="1">
      <alignment wrapText="1"/>
    </xf>
    <xf numFmtId="0" fontId="7" fillId="2" borderId="0" xfId="0" applyFont="1" applyFill="1" applyAlignment="1">
      <alignment vertical="center" wrapText="1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7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3" xfId="0" applyFont="1" applyFill="1" applyBorder="1" applyAlignment="1">
      <alignment horizontal="center" vertical="center" wrapText="1"/>
    </xf>
    <xf numFmtId="0" fontId="7" fillId="6" borderId="4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13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12" fillId="2" borderId="0" xfId="0" applyFont="1" applyFill="1" applyAlignment="1">
      <alignment horizontal="left" vertical="center" wrapText="1"/>
    </xf>
    <xf numFmtId="3" fontId="15" fillId="2" borderId="0" xfId="0" applyNumberFormat="1" applyFont="1" applyFill="1" applyAlignment="1">
      <alignment horizontal="left" vertical="center" wrapText="1"/>
    </xf>
    <xf numFmtId="167" fontId="16" fillId="8" borderId="12" xfId="0" applyNumberFormat="1" applyFont="1" applyFill="1" applyBorder="1" applyAlignment="1">
      <alignment horizontal="center" vertical="center" wrapText="1"/>
    </xf>
    <xf numFmtId="167" fontId="16" fillId="8" borderId="13" xfId="0" applyNumberFormat="1" applyFont="1" applyFill="1" applyBorder="1" applyAlignment="1">
      <alignment horizontal="center" vertical="center" wrapText="1"/>
    </xf>
    <xf numFmtId="0" fontId="17" fillId="8" borderId="13" xfId="0" applyFont="1" applyFill="1" applyBorder="1" applyAlignment="1">
      <alignment horizontal="center" vertical="center" wrapText="1"/>
    </xf>
    <xf numFmtId="167" fontId="18" fillId="9" borderId="14" xfId="0" applyNumberFormat="1" applyFont="1" applyFill="1" applyBorder="1" applyAlignment="1">
      <alignment horizontal="center" vertical="center" wrapText="1"/>
    </xf>
    <xf numFmtId="167" fontId="18" fillId="9" borderId="15" xfId="0" applyNumberFormat="1" applyFont="1" applyFill="1" applyBorder="1" applyAlignment="1">
      <alignment horizontal="center" vertical="center" wrapText="1"/>
    </xf>
    <xf numFmtId="167" fontId="16" fillId="8" borderId="15" xfId="0" applyNumberFormat="1" applyFont="1" applyFill="1" applyBorder="1" applyAlignment="1">
      <alignment horizontal="center" vertical="center" wrapText="1"/>
    </xf>
    <xf numFmtId="0" fontId="19" fillId="9" borderId="15" xfId="0" applyFont="1" applyFill="1" applyBorder="1" applyAlignment="1">
      <alignment horizontal="left" vertical="center" wrapText="1"/>
    </xf>
    <xf numFmtId="1" fontId="12" fillId="2" borderId="12" xfId="3" applyNumberFormat="1" applyFont="1" applyFill="1" applyBorder="1" applyAlignment="1">
      <alignment horizontal="center" vertical="center" wrapText="1"/>
    </xf>
    <xf numFmtId="1" fontId="12" fillId="2" borderId="16" xfId="3" applyNumberFormat="1" applyFont="1" applyFill="1" applyBorder="1" applyAlignment="1">
      <alignment horizontal="center" vertical="center" wrapText="1"/>
    </xf>
    <xf numFmtId="0" fontId="7" fillId="0" borderId="13" xfId="0" applyFont="1" applyBorder="1" applyAlignment="1">
      <alignment horizontal="left" vertical="center" wrapText="1"/>
    </xf>
    <xf numFmtId="0" fontId="7" fillId="0" borderId="13" xfId="0" applyFont="1" applyBorder="1" applyAlignment="1">
      <alignment horizontal="center" vertical="center" wrapText="1"/>
    </xf>
    <xf numFmtId="9" fontId="7" fillId="0" borderId="13" xfId="0" applyNumberFormat="1" applyFont="1" applyBorder="1" applyAlignment="1">
      <alignment horizontal="center" vertical="center" wrapText="1"/>
    </xf>
    <xf numFmtId="1" fontId="7" fillId="0" borderId="13" xfId="0" applyNumberFormat="1" applyFont="1" applyBorder="1" applyAlignment="1">
      <alignment horizontal="center" vertical="center" wrapText="1"/>
    </xf>
    <xf numFmtId="1" fontId="12" fillId="2" borderId="14" xfId="3" applyNumberFormat="1" applyFont="1" applyFill="1" applyBorder="1" applyAlignment="1">
      <alignment horizontal="center" vertical="center" wrapText="1"/>
    </xf>
    <xf numFmtId="1" fontId="12" fillId="2" borderId="17" xfId="3" applyNumberFormat="1" applyFont="1" applyFill="1" applyBorder="1" applyAlignment="1">
      <alignment horizontal="center" vertical="center" wrapText="1"/>
    </xf>
    <xf numFmtId="0" fontId="7" fillId="0" borderId="15" xfId="0" applyFont="1" applyBorder="1" applyAlignment="1">
      <alignment horizontal="left" vertical="center" wrapText="1"/>
    </xf>
    <xf numFmtId="0" fontId="7" fillId="0" borderId="15" xfId="0" applyFont="1" applyBorder="1" applyAlignment="1">
      <alignment horizontal="center" vertical="center" wrapText="1"/>
    </xf>
    <xf numFmtId="9" fontId="7" fillId="0" borderId="15" xfId="0" applyNumberFormat="1" applyFont="1" applyBorder="1" applyAlignment="1">
      <alignment horizontal="center" vertical="center" wrapText="1"/>
    </xf>
    <xf numFmtId="1" fontId="7" fillId="0" borderId="15" xfId="0" applyNumberFormat="1" applyFont="1" applyBorder="1" applyAlignment="1">
      <alignment horizontal="center" vertical="center" wrapText="1"/>
    </xf>
    <xf numFmtId="0" fontId="7" fillId="0" borderId="18" xfId="0" applyFont="1" applyBorder="1" applyAlignment="1">
      <alignment horizontal="left" vertical="center" wrapText="1"/>
    </xf>
    <xf numFmtId="0" fontId="7" fillId="0" borderId="18" xfId="0" applyFont="1" applyBorder="1" applyAlignment="1">
      <alignment horizontal="center" vertical="center" wrapText="1"/>
    </xf>
    <xf numFmtId="9" fontId="7" fillId="0" borderId="18" xfId="0" applyNumberFormat="1" applyFont="1" applyBorder="1" applyAlignment="1">
      <alignment horizontal="center" vertical="center" wrapText="1"/>
    </xf>
    <xf numFmtId="1" fontId="7" fillId="0" borderId="18" xfId="0" applyNumberFormat="1" applyFont="1" applyBorder="1" applyAlignment="1">
      <alignment horizontal="center" vertical="center" wrapText="1"/>
    </xf>
    <xf numFmtId="0" fontId="13" fillId="0" borderId="19" xfId="0" applyFont="1" applyBorder="1" applyAlignment="1">
      <alignment vertical="center" wrapText="1"/>
    </xf>
    <xf numFmtId="0" fontId="13" fillId="0" borderId="20" xfId="0" applyFont="1" applyBorder="1" applyAlignment="1">
      <alignment vertical="center" wrapText="1"/>
    </xf>
    <xf numFmtId="0" fontId="20" fillId="0" borderId="21" xfId="0" applyFont="1" applyBorder="1" applyAlignment="1">
      <alignment horizontal="right" vertical="center" wrapText="1"/>
    </xf>
    <xf numFmtId="0" fontId="13" fillId="0" borderId="22" xfId="0" applyFont="1" applyBorder="1" applyAlignment="1">
      <alignment vertical="center" wrapText="1"/>
    </xf>
    <xf numFmtId="0" fontId="13" fillId="0" borderId="23" xfId="0" applyFont="1" applyBorder="1" applyAlignment="1">
      <alignment vertical="center" wrapText="1"/>
    </xf>
    <xf numFmtId="0" fontId="17" fillId="8" borderId="15" xfId="0" applyFont="1" applyFill="1" applyBorder="1" applyAlignment="1">
      <alignment horizontal="left" vertical="center" wrapText="1"/>
    </xf>
    <xf numFmtId="0" fontId="13" fillId="0" borderId="15" xfId="0" applyFont="1" applyBorder="1" applyAlignment="1">
      <alignment vertical="center" wrapText="1"/>
    </xf>
    <xf numFmtId="0" fontId="20" fillId="10" borderId="15" xfId="0" applyFont="1" applyFill="1" applyBorder="1" applyAlignment="1">
      <alignment horizontal="center" wrapText="1"/>
    </xf>
    <xf numFmtId="1" fontId="21" fillId="0" borderId="17" xfId="0" applyNumberFormat="1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wrapText="1"/>
    </xf>
    <xf numFmtId="1" fontId="12" fillId="2" borderId="15" xfId="3" applyNumberFormat="1" applyFont="1" applyFill="1" applyBorder="1" applyAlignment="1">
      <alignment vertical="center" wrapText="1"/>
    </xf>
    <xf numFmtId="0" fontId="13" fillId="0" borderId="24" xfId="0" applyFont="1" applyBorder="1" applyAlignment="1">
      <alignment horizontal="left" wrapText="1"/>
    </xf>
    <xf numFmtId="0" fontId="21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vertical="center" wrapText="1"/>
    </xf>
    <xf numFmtId="0" fontId="7" fillId="0" borderId="24" xfId="0" applyFont="1" applyBorder="1" applyAlignment="1">
      <alignment horizontal="left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15" xfId="0" applyFont="1" applyBorder="1" applyAlignment="1">
      <alignment wrapText="1"/>
    </xf>
    <xf numFmtId="1" fontId="21" fillId="0" borderId="15" xfId="0" applyNumberFormat="1" applyFont="1" applyBorder="1" applyAlignment="1">
      <alignment horizontal="center" wrapText="1"/>
    </xf>
    <xf numFmtId="0" fontId="7" fillId="0" borderId="19" xfId="0" applyFont="1" applyBorder="1" applyAlignment="1">
      <alignment vertical="center" wrapText="1"/>
    </xf>
    <xf numFmtId="1" fontId="7" fillId="0" borderId="17" xfId="0" applyNumberFormat="1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horizontal="left" vertical="center"/>
    </xf>
    <xf numFmtId="0" fontId="23" fillId="2" borderId="0" xfId="0" applyFont="1" applyFill="1" applyAlignment="1">
      <alignment horizontal="right" vertical="center"/>
    </xf>
    <xf numFmtId="0" fontId="22" fillId="2" borderId="0" xfId="0" applyFont="1" applyFill="1" applyAlignment="1">
      <alignment horizontal="center" vertical="center"/>
    </xf>
    <xf numFmtId="0" fontId="22" fillId="2" borderId="0" xfId="0" applyFont="1" applyFill="1" applyAlignment="1">
      <alignment horizontal="left" vertical="center"/>
    </xf>
    <xf numFmtId="168" fontId="9" fillId="0" borderId="15" xfId="0" applyNumberFormat="1" applyFont="1" applyBorder="1" applyAlignment="1">
      <alignment horizontal="center" vertical="center" wrapText="1"/>
    </xf>
    <xf numFmtId="169" fontId="9" fillId="0" borderId="15" xfId="0" applyNumberFormat="1" applyFont="1" applyBorder="1" applyAlignment="1">
      <alignment horizontal="center" vertical="center" wrapText="1"/>
    </xf>
    <xf numFmtId="44" fontId="7" fillId="0" borderId="15" xfId="1" applyFont="1" applyBorder="1" applyAlignment="1" applyProtection="1">
      <alignment horizontal="center" vertical="center" wrapText="1"/>
    </xf>
    <xf numFmtId="170" fontId="7" fillId="0" borderId="15" xfId="0" applyNumberFormat="1" applyFont="1" applyBorder="1" applyAlignment="1">
      <alignment horizontal="left" vertical="center" wrapText="1"/>
    </xf>
    <xf numFmtId="168" fontId="9" fillId="0" borderId="18" xfId="0" applyNumberFormat="1" applyFont="1" applyBorder="1" applyAlignment="1">
      <alignment horizontal="center" vertical="center" wrapText="1"/>
    </xf>
    <xf numFmtId="169" fontId="9" fillId="0" borderId="18" xfId="0" applyNumberFormat="1" applyFont="1" applyBorder="1" applyAlignment="1">
      <alignment horizontal="center" vertical="center" wrapText="1"/>
    </xf>
    <xf numFmtId="44" fontId="7" fillId="0" borderId="18" xfId="1" applyFont="1" applyBorder="1" applyAlignment="1" applyProtection="1">
      <alignment horizontal="center" vertical="center" wrapText="1"/>
    </xf>
    <xf numFmtId="170" fontId="7" fillId="0" borderId="18" xfId="0" applyNumberFormat="1" applyFont="1" applyBorder="1" applyAlignment="1">
      <alignment horizontal="left" vertical="center" wrapText="1"/>
    </xf>
    <xf numFmtId="44" fontId="13" fillId="0" borderId="22" xfId="1" applyFont="1" applyFill="1" applyBorder="1" applyAlignment="1">
      <alignment horizontal="right" vertical="center" wrapText="1"/>
    </xf>
    <xf numFmtId="168" fontId="7" fillId="0" borderId="15" xfId="0" applyNumberFormat="1" applyFont="1" applyBorder="1" applyAlignment="1">
      <alignment horizontal="center" vertical="center" wrapText="1"/>
    </xf>
    <xf numFmtId="44" fontId="7" fillId="0" borderId="15" xfId="1" applyFont="1" applyFill="1" applyBorder="1" applyAlignment="1">
      <alignment horizontal="center" vertical="center" wrapText="1"/>
    </xf>
    <xf numFmtId="44" fontId="7" fillId="0" borderId="15" xfId="1" applyFont="1" applyBorder="1" applyAlignment="1">
      <alignment horizontal="center" vertical="center" wrapText="1"/>
    </xf>
    <xf numFmtId="171" fontId="14" fillId="2" borderId="7" xfId="0" applyNumberFormat="1" applyFont="1" applyFill="1" applyBorder="1" applyAlignment="1">
      <alignment horizontal="center" vertical="center" wrapText="1"/>
    </xf>
    <xf numFmtId="167" fontId="16" fillId="8" borderId="25" xfId="0" applyNumberFormat="1" applyFont="1" applyFill="1" applyBorder="1" applyAlignment="1">
      <alignment horizontal="center" vertical="center" wrapText="1"/>
    </xf>
    <xf numFmtId="167" fontId="18" fillId="9" borderId="26" xfId="0" applyNumberFormat="1" applyFont="1" applyFill="1" applyBorder="1" applyAlignment="1">
      <alignment horizontal="center" vertical="center" wrapText="1"/>
    </xf>
    <xf numFmtId="44" fontId="7" fillId="2" borderId="0" xfId="0" applyNumberFormat="1" applyFont="1" applyFill="1" applyAlignment="1">
      <alignment vertical="center" wrapText="1"/>
    </xf>
    <xf numFmtId="166" fontId="20" fillId="11" borderId="30" xfId="0" applyNumberFormat="1" applyFont="1" applyFill="1" applyBorder="1" applyAlignment="1">
      <alignment horizontal="center" vertical="center" wrapText="1"/>
    </xf>
    <xf numFmtId="44" fontId="7" fillId="0" borderId="0" xfId="0" applyNumberFormat="1" applyFont="1" applyAlignment="1">
      <alignment vertical="center" wrapText="1"/>
    </xf>
    <xf numFmtId="0" fontId="13" fillId="0" borderId="31" xfId="0" applyFont="1" applyBorder="1" applyAlignment="1">
      <alignment vertical="center" wrapText="1"/>
    </xf>
    <xf numFmtId="166" fontId="18" fillId="9" borderId="26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wrapText="1"/>
    </xf>
    <xf numFmtId="166" fontId="7" fillId="0" borderId="26" xfId="0" applyNumberFormat="1" applyFont="1" applyBorder="1" applyAlignment="1">
      <alignment horizontal="center" vertical="center" wrapText="1"/>
    </xf>
    <xf numFmtId="166" fontId="7" fillId="0" borderId="25" xfId="0" applyNumberFormat="1" applyFont="1" applyBorder="1" applyAlignment="1">
      <alignment horizontal="center" vertical="center" wrapText="1"/>
    </xf>
    <xf numFmtId="169" fontId="7" fillId="0" borderId="15" xfId="0" applyNumberFormat="1" applyFont="1" applyBorder="1" applyAlignment="1">
      <alignment horizontal="center" vertical="center" wrapText="1"/>
    </xf>
    <xf numFmtId="0" fontId="7" fillId="0" borderId="32" xfId="0" applyFont="1" applyBorder="1" applyAlignment="1">
      <alignment horizontal="left" vertical="center" wrapText="1"/>
    </xf>
    <xf numFmtId="0" fontId="7" fillId="2" borderId="0" xfId="3" applyFont="1" applyFill="1" applyBorder="1" applyAlignment="1">
      <alignment horizontal="left" vertical="center" wrapText="1"/>
    </xf>
    <xf numFmtId="1" fontId="7" fillId="0" borderId="0" xfId="0" applyNumberFormat="1" applyFont="1" applyAlignment="1">
      <alignment horizontal="center" vertical="center" wrapText="1"/>
    </xf>
    <xf numFmtId="9" fontId="12" fillId="2" borderId="0" xfId="2" applyFont="1" applyFill="1" applyBorder="1" applyAlignment="1">
      <alignment horizontal="center" vertical="center" wrapText="1"/>
    </xf>
    <xf numFmtId="0" fontId="12" fillId="2" borderId="0" xfId="3" applyFont="1" applyFill="1" applyBorder="1" applyAlignment="1">
      <alignment horizontal="center" vertical="center" wrapText="1"/>
    </xf>
    <xf numFmtId="0" fontId="13" fillId="0" borderId="13" xfId="0" applyFont="1" applyBorder="1" applyAlignment="1">
      <alignment vertical="center" wrapText="1"/>
    </xf>
    <xf numFmtId="0" fontId="13" fillId="0" borderId="24" xfId="0" applyFont="1" applyBorder="1" applyAlignment="1">
      <alignment vertical="center" wrapText="1"/>
    </xf>
    <xf numFmtId="0" fontId="20" fillId="10" borderId="15" xfId="0" applyFont="1" applyFill="1" applyBorder="1" applyAlignment="1">
      <alignment wrapText="1"/>
    </xf>
    <xf numFmtId="1" fontId="21" fillId="0" borderId="16" xfId="0" applyNumberFormat="1" applyFont="1" applyBorder="1" applyAlignment="1">
      <alignment horizontal="center" vertical="center" wrapText="1"/>
    </xf>
    <xf numFmtId="1" fontId="21" fillId="0" borderId="13" xfId="0" applyNumberFormat="1" applyFont="1" applyBorder="1" applyAlignment="1">
      <alignment horizontal="center" wrapText="1"/>
    </xf>
    <xf numFmtId="9" fontId="24" fillId="0" borderId="15" xfId="0" applyNumberFormat="1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1" fontId="12" fillId="2" borderId="15" xfId="3" applyNumberFormat="1" applyFont="1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0" fillId="10" borderId="15" xfId="0" applyFont="1" applyFill="1" applyBorder="1" applyAlignment="1">
      <alignment horizontal="center" vertical="center" wrapText="1"/>
    </xf>
    <xf numFmtId="169" fontId="9" fillId="0" borderId="15" xfId="0" applyNumberFormat="1" applyFont="1" applyBorder="1" applyAlignment="1">
      <alignment vertical="center" wrapText="1"/>
    </xf>
    <xf numFmtId="0" fontId="20" fillId="0" borderId="22" xfId="0" applyFont="1" applyBorder="1" applyAlignment="1">
      <alignment vertical="center" wrapText="1"/>
    </xf>
    <xf numFmtId="166" fontId="20" fillId="0" borderId="22" xfId="0" applyNumberFormat="1" applyFont="1" applyBorder="1" applyAlignment="1">
      <alignment horizontal="center" vertical="center" wrapText="1"/>
    </xf>
    <xf numFmtId="170" fontId="20" fillId="0" borderId="22" xfId="0" applyNumberFormat="1" applyFont="1" applyBorder="1" applyAlignment="1">
      <alignment vertical="center" wrapText="1"/>
    </xf>
    <xf numFmtId="168" fontId="7" fillId="0" borderId="0" xfId="0" applyNumberFormat="1" applyFont="1" applyAlignment="1">
      <alignment horizontal="center" vertical="center" wrapText="1"/>
    </xf>
    <xf numFmtId="44" fontId="12" fillId="2" borderId="0" xfId="1" applyFont="1" applyFill="1" applyBorder="1" applyAlignment="1" applyProtection="1">
      <alignment horizontal="center" vertical="center" wrapText="1"/>
    </xf>
    <xf numFmtId="168" fontId="7" fillId="0" borderId="13" xfId="0" applyNumberFormat="1" applyFont="1" applyBorder="1" applyAlignment="1">
      <alignment horizontal="center" vertical="center" wrapText="1"/>
    </xf>
    <xf numFmtId="44" fontId="7" fillId="0" borderId="13" xfId="1" applyFont="1" applyFill="1" applyBorder="1" applyAlignment="1">
      <alignment horizontal="center" vertical="center" wrapText="1"/>
    </xf>
    <xf numFmtId="166" fontId="7" fillId="0" borderId="27" xfId="0" applyNumberFormat="1" applyFont="1" applyBorder="1" applyAlignment="1">
      <alignment horizontal="center" vertical="center" wrapText="1"/>
    </xf>
    <xf numFmtId="166" fontId="7" fillId="0" borderId="7" xfId="0" applyNumberFormat="1" applyFont="1" applyBorder="1" applyAlignment="1">
      <alignment horizontal="center" vertical="center" wrapText="1"/>
    </xf>
    <xf numFmtId="166" fontId="13" fillId="0" borderId="31" xfId="0" applyNumberFormat="1" applyFont="1" applyBorder="1" applyAlignment="1">
      <alignment vertical="center" wrapText="1"/>
    </xf>
    <xf numFmtId="0" fontId="13" fillId="0" borderId="0" xfId="0" applyFont="1" applyAlignment="1">
      <alignment vertical="center" wrapText="1"/>
    </xf>
    <xf numFmtId="0" fontId="17" fillId="8" borderId="13" xfId="0" applyFont="1" applyFill="1" applyBorder="1" applyAlignment="1">
      <alignment horizontal="left" vertical="center" wrapText="1"/>
    </xf>
    <xf numFmtId="167" fontId="18" fillId="9" borderId="13" xfId="0" applyNumberFormat="1" applyFont="1" applyFill="1" applyBorder="1" applyAlignment="1">
      <alignment horizontal="center" vertical="center" wrapText="1"/>
    </xf>
    <xf numFmtId="0" fontId="25" fillId="12" borderId="15" xfId="10" applyFont="1" applyFill="1" applyBorder="1" applyAlignment="1" applyProtection="1">
      <alignment horizontal="center" wrapText="1"/>
    </xf>
    <xf numFmtId="0" fontId="9" fillId="0" borderId="15" xfId="0" applyFont="1" applyBorder="1" applyAlignment="1">
      <alignment horizontal="left" vertical="center" wrapText="1"/>
    </xf>
    <xf numFmtId="1" fontId="24" fillId="0" borderId="15" xfId="0" applyNumberFormat="1" applyFont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left" vertical="center" wrapText="1"/>
    </xf>
    <xf numFmtId="0" fontId="9" fillId="0" borderId="15" xfId="0" applyFont="1" applyBorder="1" applyAlignment="1">
      <alignment horizontal="right" wrapText="1"/>
    </xf>
    <xf numFmtId="1" fontId="9" fillId="0" borderId="15" xfId="0" applyNumberFormat="1" applyFont="1" applyBorder="1" applyAlignment="1">
      <alignment horizontal="center" vertical="center" wrapText="1"/>
    </xf>
    <xf numFmtId="0" fontId="9" fillId="0" borderId="15" xfId="0" applyFont="1" applyBorder="1" applyAlignment="1">
      <alignment horizontal="right" vertical="center" wrapText="1"/>
    </xf>
    <xf numFmtId="0" fontId="9" fillId="0" borderId="15" xfId="0" applyFont="1" applyBorder="1" applyAlignment="1">
      <alignment horizontal="center" wrapText="1"/>
    </xf>
    <xf numFmtId="44" fontId="7" fillId="0" borderId="15" xfId="0" applyNumberFormat="1" applyFont="1" applyBorder="1" applyAlignment="1">
      <alignment horizontal="left" vertical="center" wrapText="1"/>
    </xf>
    <xf numFmtId="166" fontId="13" fillId="0" borderId="7" xfId="0" applyNumberFormat="1" applyFont="1" applyBorder="1" applyAlignment="1">
      <alignment vertical="center" wrapText="1"/>
    </xf>
    <xf numFmtId="166" fontId="18" fillId="9" borderId="25" xfId="0" applyNumberFormat="1" applyFont="1" applyFill="1" applyBorder="1" applyAlignment="1">
      <alignment horizontal="center" vertical="center" wrapText="1"/>
    </xf>
    <xf numFmtId="0" fontId="23" fillId="0" borderId="15" xfId="0" applyFont="1" applyBorder="1" applyAlignment="1">
      <alignment horizontal="left" vertical="center" wrapText="1"/>
    </xf>
    <xf numFmtId="0" fontId="7" fillId="0" borderId="15" xfId="9" applyFont="1" applyBorder="1" applyAlignment="1">
      <alignment vertical="center" wrapText="1"/>
    </xf>
    <xf numFmtId="1" fontId="7" fillId="0" borderId="15" xfId="9" applyNumberFormat="1" applyFont="1" applyBorder="1" applyAlignment="1">
      <alignment horizontal="center" vertical="center" wrapText="1"/>
    </xf>
    <xf numFmtId="1" fontId="12" fillId="2" borderId="19" xfId="3" applyNumberFormat="1" applyFont="1" applyFill="1" applyBorder="1" applyAlignment="1">
      <alignment horizontal="center" vertical="center" wrapText="1"/>
    </xf>
    <xf numFmtId="0" fontId="13" fillId="0" borderId="15" xfId="0" applyFont="1" applyBorder="1" applyAlignment="1">
      <alignment horizontal="left" wrapText="1"/>
    </xf>
    <xf numFmtId="0" fontId="7" fillId="0" borderId="15" xfId="9" applyFont="1" applyBorder="1" applyAlignment="1">
      <alignment horizontal="center" vertical="center" wrapText="1"/>
    </xf>
    <xf numFmtId="0" fontId="9" fillId="0" borderId="15" xfId="10" applyFont="1" applyBorder="1" applyAlignment="1" applyProtection="1">
      <alignment horizontal="center" vertical="center" wrapText="1"/>
    </xf>
    <xf numFmtId="0" fontId="7" fillId="0" borderId="17" xfId="9" applyFont="1" applyBorder="1" applyAlignment="1">
      <alignment horizontal="center" vertical="center" wrapText="1"/>
    </xf>
    <xf numFmtId="0" fontId="7" fillId="0" borderId="24" xfId="9" applyFont="1" applyBorder="1" applyAlignment="1">
      <alignment vertical="center" wrapText="1"/>
    </xf>
    <xf numFmtId="0" fontId="9" fillId="0" borderId="17" xfId="0" applyFont="1" applyBorder="1" applyAlignment="1">
      <alignment horizontal="center" vertical="center" wrapText="1"/>
    </xf>
    <xf numFmtId="0" fontId="21" fillId="0" borderId="17" xfId="0" applyFont="1" applyBorder="1" applyAlignment="1">
      <alignment horizontal="center" vertical="center" wrapText="1"/>
    </xf>
    <xf numFmtId="168" fontId="9" fillId="13" borderId="15" xfId="0" applyNumberFormat="1" applyFont="1" applyFill="1" applyBorder="1" applyAlignment="1">
      <alignment horizontal="center" vertical="center" wrapText="1"/>
    </xf>
    <xf numFmtId="169" fontId="9" fillId="13" borderId="15" xfId="0" applyNumberFormat="1" applyFont="1" applyFill="1" applyBorder="1" applyAlignment="1">
      <alignment horizontal="center" vertical="center" wrapText="1"/>
    </xf>
    <xf numFmtId="44" fontId="7" fillId="13" borderId="15" xfId="1" applyFont="1" applyFill="1" applyBorder="1" applyAlignment="1" applyProtection="1">
      <alignment horizontal="center" vertical="center" wrapText="1"/>
    </xf>
    <xf numFmtId="170" fontId="7" fillId="13" borderId="15" xfId="0" applyNumberFormat="1" applyFont="1" applyFill="1" applyBorder="1" applyAlignment="1">
      <alignment horizontal="left" vertical="center" wrapText="1"/>
    </xf>
    <xf numFmtId="166" fontId="7" fillId="13" borderId="25" xfId="0" applyNumberFormat="1" applyFont="1" applyFill="1" applyBorder="1" applyAlignment="1">
      <alignment horizontal="center" vertical="center" wrapText="1"/>
    </xf>
    <xf numFmtId="0" fontId="7" fillId="0" borderId="13" xfId="9" applyFont="1" applyBorder="1" applyAlignment="1">
      <alignment vertical="center" wrapText="1"/>
    </xf>
    <xf numFmtId="2" fontId="12" fillId="2" borderId="15" xfId="3" applyNumberFormat="1" applyFont="1" applyFill="1" applyBorder="1" applyAlignment="1">
      <alignment horizontal="center" vertical="center" wrapText="1"/>
    </xf>
    <xf numFmtId="0" fontId="26" fillId="0" borderId="15" xfId="0" applyFont="1" applyBorder="1" applyAlignment="1">
      <alignment vertical="center" wrapText="1"/>
    </xf>
    <xf numFmtId="0" fontId="9" fillId="0" borderId="15" xfId="10" applyFont="1" applyBorder="1" applyAlignment="1" applyProtection="1">
      <alignment wrapText="1"/>
    </xf>
    <xf numFmtId="0" fontId="9" fillId="0" borderId="15" xfId="0" applyFont="1" applyBorder="1" applyAlignment="1">
      <alignment vertical="center" wrapText="1"/>
    </xf>
    <xf numFmtId="0" fontId="25" fillId="0" borderId="15" xfId="10" applyFont="1" applyBorder="1" applyAlignment="1" applyProtection="1">
      <alignment wrapText="1"/>
    </xf>
    <xf numFmtId="2" fontId="9" fillId="0" borderId="15" xfId="10" applyNumberFormat="1" applyFont="1" applyBorder="1" applyAlignment="1" applyProtection="1">
      <alignment horizontal="center" vertical="center" wrapText="1"/>
    </xf>
    <xf numFmtId="0" fontId="25" fillId="2" borderId="15" xfId="0" applyFont="1" applyFill="1" applyBorder="1"/>
    <xf numFmtId="1" fontId="25" fillId="0" borderId="15" xfId="0" applyNumberFormat="1" applyFont="1" applyBorder="1" applyAlignment="1">
      <alignment horizontal="center" vertical="center"/>
    </xf>
    <xf numFmtId="9" fontId="27" fillId="0" borderId="15" xfId="0" applyNumberFormat="1" applyFont="1" applyBorder="1" applyAlignment="1">
      <alignment horizontal="center" vertical="center"/>
    </xf>
    <xf numFmtId="1" fontId="27" fillId="0" borderId="15" xfId="0" applyNumberFormat="1" applyFont="1" applyBorder="1" applyAlignment="1">
      <alignment horizontal="center" vertical="center"/>
    </xf>
    <xf numFmtId="0" fontId="25" fillId="0" borderId="15" xfId="0" applyFont="1" applyBorder="1" applyAlignment="1">
      <alignment horizontal="center" vertical="center"/>
    </xf>
    <xf numFmtId="0" fontId="9" fillId="2" borderId="15" xfId="0" applyFont="1" applyFill="1" applyBorder="1"/>
    <xf numFmtId="1" fontId="9" fillId="0" borderId="15" xfId="0" applyNumberFormat="1" applyFont="1" applyBorder="1" applyAlignment="1">
      <alignment horizontal="center" vertical="center"/>
    </xf>
    <xf numFmtId="9" fontId="24" fillId="0" borderId="15" xfId="0" applyNumberFormat="1" applyFont="1" applyBorder="1" applyAlignment="1">
      <alignment horizontal="center" vertical="center"/>
    </xf>
    <xf numFmtId="1" fontId="24" fillId="0" borderId="15" xfId="0" applyNumberFormat="1" applyFont="1" applyBorder="1" applyAlignment="1">
      <alignment horizontal="center" vertical="center"/>
    </xf>
    <xf numFmtId="0" fontId="9" fillId="0" borderId="15" xfId="0" applyFont="1" applyBorder="1" applyAlignment="1">
      <alignment horizontal="center"/>
    </xf>
    <xf numFmtId="0" fontId="25" fillId="0" borderId="15" xfId="0" applyFont="1" applyBorder="1"/>
    <xf numFmtId="1" fontId="25" fillId="0" borderId="15" xfId="0" applyNumberFormat="1" applyFont="1" applyBorder="1" applyAlignment="1">
      <alignment horizontal="center" vertical="center" wrapText="1"/>
    </xf>
    <xf numFmtId="9" fontId="27" fillId="0" borderId="15" xfId="0" applyNumberFormat="1" applyFont="1" applyBorder="1" applyAlignment="1">
      <alignment horizontal="center" vertical="center" wrapText="1"/>
    </xf>
    <xf numFmtId="1" fontId="27" fillId="0" borderId="15" xfId="0" applyNumberFormat="1" applyFont="1" applyBorder="1" applyAlignment="1">
      <alignment horizontal="center" vertical="center" wrapText="1"/>
    </xf>
    <xf numFmtId="0" fontId="25" fillId="0" borderId="15" xfId="0" applyFont="1" applyBorder="1" applyAlignment="1">
      <alignment horizontal="center" vertical="center" wrapText="1"/>
    </xf>
    <xf numFmtId="0" fontId="9" fillId="0" borderId="15" xfId="0" applyFont="1" applyBorder="1" applyAlignment="1">
      <alignment wrapText="1"/>
    </xf>
    <xf numFmtId="166" fontId="16" fillId="8" borderId="26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wrapText="1"/>
    </xf>
    <xf numFmtId="0" fontId="7" fillId="0" borderId="0" xfId="0" applyFont="1" applyAlignment="1">
      <alignment horizontal="left" wrapText="1"/>
    </xf>
    <xf numFmtId="0" fontId="7" fillId="2" borderId="15" xfId="0" applyFont="1" applyFill="1" applyBorder="1" applyAlignment="1">
      <alignment horizontal="center" vertical="center" wrapText="1"/>
    </xf>
    <xf numFmtId="0" fontId="9" fillId="0" borderId="13" xfId="0" applyFont="1" applyBorder="1" applyAlignment="1">
      <alignment vertical="center" wrapText="1"/>
    </xf>
    <xf numFmtId="1" fontId="9" fillId="0" borderId="18" xfId="0" applyNumberFormat="1" applyFont="1" applyBorder="1" applyAlignment="1">
      <alignment horizontal="center" vertical="center" wrapText="1"/>
    </xf>
    <xf numFmtId="9" fontId="24" fillId="0" borderId="18" xfId="0" applyNumberFormat="1" applyFont="1" applyBorder="1" applyAlignment="1">
      <alignment horizontal="center" vertical="center" wrapText="1"/>
    </xf>
    <xf numFmtId="1" fontId="24" fillId="0" borderId="18" xfId="0" applyNumberFormat="1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24" fillId="0" borderId="22" xfId="0" applyFont="1" applyBorder="1" applyAlignment="1">
      <alignment horizontal="center" vertical="center" wrapText="1"/>
    </xf>
    <xf numFmtId="1" fontId="24" fillId="0" borderId="22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19" fillId="9" borderId="13" xfId="0" applyFont="1" applyFill="1" applyBorder="1" applyAlignment="1">
      <alignment horizontal="left" vertical="center" wrapText="1"/>
    </xf>
    <xf numFmtId="0" fontId="8" fillId="0" borderId="15" xfId="0" applyFont="1" applyBorder="1" applyAlignment="1">
      <alignment vertical="center" wrapText="1"/>
    </xf>
    <xf numFmtId="0" fontId="8" fillId="0" borderId="15" xfId="0" applyFont="1" applyBorder="1" applyAlignment="1">
      <alignment horizontal="center" vertical="center" wrapText="1"/>
    </xf>
    <xf numFmtId="0" fontId="20" fillId="12" borderId="15" xfId="0" applyFont="1" applyFill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0" fontId="8" fillId="0" borderId="18" xfId="0" applyFont="1" applyBorder="1" applyAlignment="1">
      <alignment vertical="center" wrapText="1"/>
    </xf>
    <xf numFmtId="0" fontId="20" fillId="0" borderId="15" xfId="0" applyFont="1" applyBorder="1" applyAlignment="1">
      <alignment horizontal="left" vertical="top" wrapText="1"/>
    </xf>
    <xf numFmtId="0" fontId="8" fillId="0" borderId="17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left" wrapText="1"/>
    </xf>
    <xf numFmtId="0" fontId="8" fillId="0" borderId="20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1" fontId="8" fillId="0" borderId="22" xfId="0" applyNumberFormat="1" applyFont="1" applyBorder="1" applyAlignment="1">
      <alignment horizontal="center" vertical="center" wrapText="1"/>
    </xf>
    <xf numFmtId="0" fontId="12" fillId="0" borderId="19" xfId="0" applyFont="1" applyBorder="1" applyAlignment="1">
      <alignment vertical="center" wrapText="1"/>
    </xf>
    <xf numFmtId="0" fontId="12" fillId="0" borderId="23" xfId="0" applyFont="1" applyBorder="1" applyAlignment="1">
      <alignment vertical="center" wrapText="1"/>
    </xf>
    <xf numFmtId="0" fontId="7" fillId="0" borderId="15" xfId="0" applyFont="1" applyBorder="1" applyAlignment="1">
      <alignment vertical="center" wrapText="1"/>
    </xf>
    <xf numFmtId="0" fontId="7" fillId="0" borderId="15" xfId="0" applyFont="1" applyBorder="1" applyAlignment="1">
      <alignment horizontal="left" vertical="top" wrapText="1"/>
    </xf>
    <xf numFmtId="166" fontId="27" fillId="0" borderId="22" xfId="0" applyNumberFormat="1" applyFont="1" applyBorder="1" applyAlignment="1">
      <alignment horizontal="center" vertical="center" wrapText="1"/>
    </xf>
    <xf numFmtId="170" fontId="24" fillId="0" borderId="22" xfId="0" applyNumberFormat="1" applyFont="1" applyBorder="1" applyAlignment="1">
      <alignment horizontal="center" vertical="center" wrapText="1"/>
    </xf>
    <xf numFmtId="168" fontId="8" fillId="0" borderId="15" xfId="0" applyNumberFormat="1" applyFont="1" applyBorder="1" applyAlignment="1">
      <alignment horizontal="center" vertical="center" wrapText="1"/>
    </xf>
    <xf numFmtId="169" fontId="8" fillId="0" borderId="15" xfId="0" applyNumberFormat="1" applyFont="1" applyBorder="1" applyAlignment="1">
      <alignment horizontal="center" vertical="center" wrapText="1"/>
    </xf>
    <xf numFmtId="44" fontId="8" fillId="0" borderId="15" xfId="0" applyNumberFormat="1" applyFont="1" applyBorder="1" applyAlignment="1">
      <alignment horizontal="center" vertical="center" wrapText="1"/>
    </xf>
    <xf numFmtId="44" fontId="7" fillId="0" borderId="33" xfId="1" applyFont="1" applyBorder="1" applyAlignment="1" applyProtection="1">
      <alignment horizontal="center" vertical="center" wrapText="1"/>
    </xf>
    <xf numFmtId="170" fontId="8" fillId="0" borderId="22" xfId="0" applyNumberFormat="1" applyFont="1" applyBorder="1" applyAlignment="1">
      <alignment horizontal="center" vertical="center" wrapText="1"/>
    </xf>
    <xf numFmtId="169" fontId="9" fillId="0" borderId="34" xfId="0" applyNumberFormat="1" applyFont="1" applyBorder="1" applyAlignment="1">
      <alignment horizontal="center" vertical="center" wrapText="1"/>
    </xf>
    <xf numFmtId="166" fontId="27" fillId="14" borderId="30" xfId="0" applyNumberFormat="1" applyFont="1" applyFill="1" applyBorder="1" applyAlignment="1">
      <alignment horizontal="center" vertical="center" wrapText="1"/>
    </xf>
    <xf numFmtId="166" fontId="12" fillId="0" borderId="7" xfId="0" applyNumberFormat="1" applyFont="1" applyBorder="1" applyAlignment="1">
      <alignment vertical="center" wrapText="1"/>
    </xf>
    <xf numFmtId="166" fontId="12" fillId="0" borderId="31" xfId="0" applyNumberFormat="1" applyFont="1" applyBorder="1" applyAlignment="1">
      <alignment vertical="center" wrapText="1"/>
    </xf>
    <xf numFmtId="0" fontId="7" fillId="0" borderId="13" xfId="0" applyFont="1" applyBorder="1" applyAlignment="1">
      <alignment vertical="center" wrapText="1"/>
    </xf>
    <xf numFmtId="0" fontId="28" fillId="0" borderId="18" xfId="0" applyFont="1" applyBorder="1" applyAlignment="1">
      <alignment vertical="center" wrapText="1"/>
    </xf>
    <xf numFmtId="0" fontId="25" fillId="15" borderId="15" xfId="0" applyFont="1" applyFill="1" applyBorder="1" applyAlignment="1">
      <alignment horizontal="center" vertical="center" wrapText="1"/>
    </xf>
    <xf numFmtId="170" fontId="7" fillId="0" borderId="20" xfId="0" applyNumberFormat="1" applyFont="1" applyBorder="1" applyAlignment="1">
      <alignment horizontal="left" vertical="center" wrapText="1"/>
    </xf>
    <xf numFmtId="0" fontId="7" fillId="0" borderId="24" xfId="0" applyFont="1" applyBorder="1" applyAlignment="1">
      <alignment horizontal="center" vertical="center" wrapText="1"/>
    </xf>
    <xf numFmtId="0" fontId="7" fillId="0" borderId="35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25" fillId="14" borderId="14" xfId="0" applyFont="1" applyFill="1" applyBorder="1" applyAlignment="1">
      <alignment horizontal="left" vertical="center" wrapText="1"/>
    </xf>
    <xf numFmtId="0" fontId="9" fillId="14" borderId="15" xfId="0" applyFont="1" applyFill="1" applyBorder="1" applyAlignment="1">
      <alignment horizontal="center" vertical="center" wrapText="1"/>
    </xf>
    <xf numFmtId="0" fontId="25" fillId="14" borderId="15" xfId="0" applyFont="1" applyFill="1" applyBorder="1" applyAlignment="1">
      <alignment horizontal="center" vertical="center" wrapText="1"/>
    </xf>
    <xf numFmtId="0" fontId="25" fillId="14" borderId="15" xfId="0" applyFont="1" applyFill="1" applyBorder="1" applyAlignment="1">
      <alignment horizontal="left" vertical="center" wrapText="1"/>
    </xf>
    <xf numFmtId="0" fontId="27" fillId="14" borderId="15" xfId="0" applyFont="1" applyFill="1" applyBorder="1" applyAlignment="1">
      <alignment horizontal="center" vertical="center" wrapText="1"/>
    </xf>
    <xf numFmtId="1" fontId="27" fillId="14" borderId="15" xfId="0" applyNumberFormat="1" applyFont="1" applyFill="1" applyBorder="1" applyAlignment="1">
      <alignment horizontal="center" vertical="center" wrapText="1"/>
    </xf>
    <xf numFmtId="0" fontId="25" fillId="14" borderId="15" xfId="0" applyFont="1" applyFill="1" applyBorder="1" applyAlignment="1">
      <alignment horizontal="center" wrapText="1"/>
    </xf>
    <xf numFmtId="0" fontId="25" fillId="14" borderId="15" xfId="0" applyFont="1" applyFill="1" applyBorder="1" applyAlignment="1">
      <alignment horizontal="left" wrapText="1"/>
    </xf>
    <xf numFmtId="1" fontId="25" fillId="14" borderId="15" xfId="0" applyNumberFormat="1" applyFont="1" applyFill="1" applyBorder="1" applyAlignment="1">
      <alignment horizontal="center" vertical="center" wrapText="1"/>
    </xf>
    <xf numFmtId="0" fontId="25" fillId="17" borderId="14" xfId="0" applyFont="1" applyFill="1" applyBorder="1" applyAlignment="1">
      <alignment horizontal="left" vertical="center" wrapText="1"/>
    </xf>
    <xf numFmtId="0" fontId="9" fillId="17" borderId="15" xfId="0" applyFont="1" applyFill="1" applyBorder="1" applyAlignment="1">
      <alignment horizontal="center" vertical="center" wrapText="1"/>
    </xf>
    <xf numFmtId="0" fontId="25" fillId="17" borderId="15" xfId="0" applyFont="1" applyFill="1" applyBorder="1" applyAlignment="1">
      <alignment horizontal="center" wrapText="1"/>
    </xf>
    <xf numFmtId="0" fontId="25" fillId="17" borderId="15" xfId="0" applyFont="1" applyFill="1" applyBorder="1" applyAlignment="1">
      <alignment horizontal="left" wrapText="1"/>
    </xf>
    <xf numFmtId="1" fontId="25" fillId="17" borderId="15" xfId="0" applyNumberFormat="1" applyFont="1" applyFill="1" applyBorder="1" applyAlignment="1">
      <alignment horizontal="center" vertical="center" wrapText="1"/>
    </xf>
    <xf numFmtId="0" fontId="25" fillId="17" borderId="15" xfId="0" applyFont="1" applyFill="1" applyBorder="1" applyAlignment="1">
      <alignment horizontal="center" vertical="center" wrapText="1"/>
    </xf>
    <xf numFmtId="0" fontId="25" fillId="18" borderId="14" xfId="0" applyFont="1" applyFill="1" applyBorder="1" applyAlignment="1">
      <alignment horizontal="left" vertical="center" wrapText="1"/>
    </xf>
    <xf numFmtId="0" fontId="9" fillId="18" borderId="15" xfId="0" applyFont="1" applyFill="1" applyBorder="1" applyAlignment="1">
      <alignment horizontal="center" vertical="center" wrapText="1"/>
    </xf>
    <xf numFmtId="0" fontId="25" fillId="18" borderId="15" xfId="0" applyFont="1" applyFill="1" applyBorder="1" applyAlignment="1">
      <alignment horizontal="center" wrapText="1"/>
    </xf>
    <xf numFmtId="0" fontId="25" fillId="18" borderId="15" xfId="0" applyFont="1" applyFill="1" applyBorder="1" applyAlignment="1">
      <alignment horizontal="left" wrapText="1"/>
    </xf>
    <xf numFmtId="1" fontId="25" fillId="18" borderId="15" xfId="0" applyNumberFormat="1" applyFont="1" applyFill="1" applyBorder="1" applyAlignment="1">
      <alignment horizontal="center" vertical="center" wrapText="1"/>
    </xf>
    <xf numFmtId="0" fontId="25" fillId="18" borderId="15" xfId="0" applyFont="1" applyFill="1" applyBorder="1" applyAlignment="1">
      <alignment horizontal="center" vertical="center" wrapText="1"/>
    </xf>
    <xf numFmtId="0" fontId="25" fillId="18" borderId="36" xfId="0" applyFont="1" applyFill="1" applyBorder="1" applyAlignment="1">
      <alignment horizontal="left" vertical="center" wrapText="1"/>
    </xf>
    <xf numFmtId="0" fontId="9" fillId="18" borderId="37" xfId="0" applyFont="1" applyFill="1" applyBorder="1" applyAlignment="1">
      <alignment horizontal="center" vertical="center" wrapText="1"/>
    </xf>
    <xf numFmtId="167" fontId="25" fillId="18" borderId="37" xfId="0" applyNumberFormat="1" applyFont="1" applyFill="1" applyBorder="1" applyAlignment="1">
      <alignment horizontal="center" vertical="center" wrapText="1"/>
    </xf>
    <xf numFmtId="0" fontId="25" fillId="18" borderId="37" xfId="0" applyFont="1" applyFill="1" applyBorder="1" applyAlignment="1">
      <alignment horizontal="left" vertical="center" wrapText="1"/>
    </xf>
    <xf numFmtId="0" fontId="27" fillId="18" borderId="37" xfId="0" applyFont="1" applyFill="1" applyBorder="1" applyAlignment="1">
      <alignment horizontal="center" vertical="center" wrapText="1"/>
    </xf>
    <xf numFmtId="1" fontId="27" fillId="18" borderId="37" xfId="0" applyNumberFormat="1" applyFont="1" applyFill="1" applyBorder="1" applyAlignment="1">
      <alignment horizontal="center" vertical="center" wrapText="1"/>
    </xf>
    <xf numFmtId="168" fontId="9" fillId="0" borderId="16" xfId="0" applyNumberFormat="1" applyFont="1" applyBorder="1" applyAlignment="1">
      <alignment horizontal="center" vertical="center" wrapText="1"/>
    </xf>
    <xf numFmtId="169" fontId="9" fillId="0" borderId="20" xfId="0" applyNumberFormat="1" applyFont="1" applyBorder="1" applyAlignment="1">
      <alignment horizontal="center" vertical="center" wrapText="1"/>
    </xf>
    <xf numFmtId="44" fontId="7" fillId="0" borderId="24" xfId="1" applyFont="1" applyBorder="1" applyAlignment="1" applyProtection="1">
      <alignment horizontal="center" vertical="center" wrapText="1"/>
    </xf>
    <xf numFmtId="170" fontId="7" fillId="0" borderId="16" xfId="0" applyNumberFormat="1" applyFont="1" applyBorder="1" applyAlignment="1">
      <alignment horizontal="left" vertical="center" wrapText="1"/>
    </xf>
    <xf numFmtId="168" fontId="9" fillId="0" borderId="38" xfId="0" applyNumberFormat="1" applyFont="1" applyBorder="1" applyAlignment="1">
      <alignment horizontal="center" vertical="center" wrapText="1"/>
    </xf>
    <xf numFmtId="44" fontId="7" fillId="0" borderId="35" xfId="1" applyFont="1" applyBorder="1" applyAlignment="1" applyProtection="1">
      <alignment horizontal="center" vertical="center" wrapText="1"/>
    </xf>
    <xf numFmtId="170" fontId="7" fillId="0" borderId="38" xfId="0" applyNumberFormat="1" applyFont="1" applyBorder="1" applyAlignment="1">
      <alignment horizontal="left" vertical="center" wrapText="1"/>
    </xf>
    <xf numFmtId="1" fontId="23" fillId="16" borderId="15" xfId="0" applyNumberFormat="1" applyFont="1" applyFill="1" applyBorder="1" applyAlignment="1">
      <alignment horizontal="center" vertical="center" wrapText="1"/>
    </xf>
    <xf numFmtId="170" fontId="23" fillId="4" borderId="15" xfId="0" applyNumberFormat="1" applyFont="1" applyFill="1" applyBorder="1" applyAlignment="1">
      <alignment horizontal="center" vertical="center" wrapText="1"/>
    </xf>
    <xf numFmtId="0" fontId="23" fillId="5" borderId="15" xfId="0" applyFont="1" applyFill="1" applyBorder="1" applyAlignment="1">
      <alignment horizontal="center" vertical="center" wrapText="1"/>
    </xf>
    <xf numFmtId="170" fontId="23" fillId="5" borderId="15" xfId="0" applyNumberFormat="1" applyFont="1" applyFill="1" applyBorder="1" applyAlignment="1">
      <alignment horizontal="center" vertical="center" wrapText="1"/>
    </xf>
    <xf numFmtId="44" fontId="27" fillId="14" borderId="15" xfId="0" applyNumberFormat="1" applyFont="1" applyFill="1" applyBorder="1" applyAlignment="1">
      <alignment horizontal="left" vertical="center" wrapText="1"/>
    </xf>
    <xf numFmtId="9" fontId="25" fillId="14" borderId="15" xfId="0" applyNumberFormat="1" applyFont="1" applyFill="1" applyBorder="1" applyAlignment="1">
      <alignment horizontal="left" vertical="center" wrapText="1"/>
    </xf>
    <xf numFmtId="9" fontId="25" fillId="17" borderId="15" xfId="0" applyNumberFormat="1" applyFont="1" applyFill="1" applyBorder="1" applyAlignment="1">
      <alignment horizontal="left" vertical="center" wrapText="1"/>
    </xf>
    <xf numFmtId="172" fontId="25" fillId="18" borderId="15" xfId="0" applyNumberFormat="1" applyFont="1" applyFill="1" applyBorder="1" applyAlignment="1">
      <alignment horizontal="left" vertical="center" wrapText="1"/>
    </xf>
    <xf numFmtId="10" fontId="25" fillId="18" borderId="15" xfId="0" applyNumberFormat="1" applyFont="1" applyFill="1" applyBorder="1" applyAlignment="1">
      <alignment horizontal="left" vertical="center" wrapText="1"/>
    </xf>
    <xf numFmtId="44" fontId="27" fillId="18" borderId="37" xfId="0" applyNumberFormat="1" applyFont="1" applyFill="1" applyBorder="1" applyAlignment="1">
      <alignment horizontal="left" vertical="center" wrapText="1"/>
    </xf>
    <xf numFmtId="170" fontId="7" fillId="0" borderId="26" xfId="0" applyNumberFormat="1" applyFont="1" applyBorder="1" applyAlignment="1">
      <alignment horizontal="center" vertical="center" wrapText="1"/>
    </xf>
    <xf numFmtId="166" fontId="25" fillId="14" borderId="26" xfId="0" applyNumberFormat="1" applyFont="1" applyFill="1" applyBorder="1" applyAlignment="1">
      <alignment horizontal="left" vertical="center" wrapText="1"/>
    </xf>
    <xf numFmtId="166" fontId="9" fillId="0" borderId="0" xfId="0" applyNumberFormat="1" applyFont="1" applyAlignment="1">
      <alignment wrapText="1"/>
    </xf>
    <xf numFmtId="0" fontId="25" fillId="0" borderId="0" xfId="0" applyFont="1" applyAlignment="1">
      <alignment wrapText="1"/>
    </xf>
    <xf numFmtId="166" fontId="25" fillId="17" borderId="26" xfId="0" applyNumberFormat="1" applyFont="1" applyFill="1" applyBorder="1" applyAlignment="1">
      <alignment horizontal="left" vertical="center" wrapText="1"/>
    </xf>
    <xf numFmtId="166" fontId="25" fillId="18" borderId="26" xfId="0" applyNumberFormat="1" applyFont="1" applyFill="1" applyBorder="1" applyAlignment="1">
      <alignment horizontal="left" vertical="center" wrapText="1"/>
    </xf>
    <xf numFmtId="166" fontId="25" fillId="18" borderId="39" xfId="0" applyNumberFormat="1" applyFont="1" applyFill="1" applyBorder="1" applyAlignment="1">
      <alignment horizontal="left" vertical="center" wrapText="1"/>
    </xf>
    <xf numFmtId="0" fontId="29" fillId="2" borderId="0" xfId="0" applyFont="1" applyFill="1"/>
    <xf numFmtId="166" fontId="29" fillId="2" borderId="0" xfId="0" applyNumberFormat="1" applyFont="1" applyFill="1"/>
    <xf numFmtId="0" fontId="31" fillId="14" borderId="15" xfId="0" applyFont="1" applyFill="1" applyBorder="1" applyAlignment="1">
      <alignment horizontal="left" vertical="center"/>
    </xf>
    <xf numFmtId="0" fontId="31" fillId="14" borderId="15" xfId="0" applyFont="1" applyFill="1" applyBorder="1" applyAlignment="1">
      <alignment horizontal="center" vertical="center"/>
    </xf>
    <xf numFmtId="173" fontId="31" fillId="14" borderId="15" xfId="0" applyNumberFormat="1" applyFont="1" applyFill="1" applyBorder="1" applyAlignment="1">
      <alignment horizontal="center" vertical="center"/>
    </xf>
    <xf numFmtId="167" fontId="32" fillId="8" borderId="15" xfId="0" applyNumberFormat="1" applyFont="1" applyFill="1" applyBorder="1" applyAlignment="1">
      <alignment horizontal="center" vertical="center" wrapText="1"/>
    </xf>
    <xf numFmtId="0" fontId="33" fillId="0" borderId="12" xfId="0" applyFont="1" applyBorder="1" applyAlignment="1">
      <alignment horizontal="center" vertical="center"/>
    </xf>
    <xf numFmtId="0" fontId="34" fillId="0" borderId="32" xfId="0" applyFont="1" applyBorder="1" applyAlignment="1">
      <alignment vertical="center"/>
    </xf>
    <xf numFmtId="166" fontId="35" fillId="0" borderId="25" xfId="0" applyNumberFormat="1" applyFont="1" applyBorder="1"/>
    <xf numFmtId="0" fontId="33" fillId="0" borderId="14" xfId="0" applyFont="1" applyBorder="1" applyAlignment="1">
      <alignment horizontal="center" vertical="center"/>
    </xf>
    <xf numFmtId="0" fontId="34" fillId="0" borderId="18" xfId="0" applyFont="1" applyBorder="1" applyAlignment="1">
      <alignment vertical="center"/>
    </xf>
    <xf numFmtId="166" fontId="35" fillId="0" borderId="26" xfId="0" applyNumberFormat="1" applyFont="1" applyBorder="1"/>
    <xf numFmtId="166" fontId="36" fillId="0" borderId="42" xfId="4" applyNumberFormat="1" applyFont="1" applyFill="1" applyBorder="1" applyAlignment="1">
      <alignment vertical="center"/>
    </xf>
    <xf numFmtId="44" fontId="29" fillId="2" borderId="0" xfId="0" applyNumberFormat="1" applyFont="1" applyFill="1"/>
    <xf numFmtId="0" fontId="31" fillId="14" borderId="14" xfId="0" applyFont="1" applyFill="1" applyBorder="1" applyAlignment="1">
      <alignment horizontal="left" vertical="center"/>
    </xf>
    <xf numFmtId="9" fontId="31" fillId="14" borderId="14" xfId="2" applyFont="1" applyFill="1" applyBorder="1" applyAlignment="1">
      <alignment horizontal="center" vertical="center"/>
    </xf>
    <xf numFmtId="173" fontId="31" fillId="14" borderId="14" xfId="0" applyNumberFormat="1" applyFont="1" applyFill="1" applyBorder="1" applyAlignment="1">
      <alignment horizontal="left" vertical="center"/>
    </xf>
    <xf numFmtId="0" fontId="31" fillId="17" borderId="14" xfId="0" applyFont="1" applyFill="1" applyBorder="1" applyAlignment="1">
      <alignment horizontal="left" vertical="center"/>
    </xf>
    <xf numFmtId="172" fontId="31" fillId="17" borderId="14" xfId="2" applyNumberFormat="1" applyFont="1" applyFill="1" applyBorder="1" applyAlignment="1">
      <alignment horizontal="center" vertical="center"/>
    </xf>
    <xf numFmtId="173" fontId="31" fillId="17" borderId="14" xfId="0" applyNumberFormat="1" applyFont="1" applyFill="1" applyBorder="1" applyAlignment="1">
      <alignment horizontal="left" vertical="center"/>
    </xf>
    <xf numFmtId="0" fontId="31" fillId="18" borderId="14" xfId="0" applyFont="1" applyFill="1" applyBorder="1" applyAlignment="1">
      <alignment horizontal="left" vertical="center"/>
    </xf>
    <xf numFmtId="172" fontId="31" fillId="18" borderId="14" xfId="2" applyNumberFormat="1" applyFont="1" applyFill="1" applyBorder="1" applyAlignment="1">
      <alignment horizontal="center" vertical="center"/>
    </xf>
    <xf numFmtId="173" fontId="31" fillId="18" borderId="14" xfId="0" applyNumberFormat="1" applyFont="1" applyFill="1" applyBorder="1" applyAlignment="1">
      <alignment horizontal="left" vertical="center"/>
    </xf>
    <xf numFmtId="174" fontId="29" fillId="2" borderId="9" xfId="0" applyNumberFormat="1" applyFont="1" applyFill="1" applyBorder="1"/>
    <xf numFmtId="0" fontId="29" fillId="2" borderId="9" xfId="0" applyFont="1" applyFill="1" applyBorder="1"/>
    <xf numFmtId="173" fontId="29" fillId="2" borderId="0" xfId="0" applyNumberFormat="1" applyFont="1" applyFill="1"/>
    <xf numFmtId="0" fontId="29" fillId="2" borderId="7" xfId="0" applyFont="1" applyFill="1" applyBorder="1"/>
    <xf numFmtId="0" fontId="29" fillId="2" borderId="10" xfId="0" applyFont="1" applyFill="1" applyBorder="1"/>
    <xf numFmtId="167" fontId="30" fillId="8" borderId="40" xfId="0" applyNumberFormat="1" applyFont="1" applyFill="1" applyBorder="1" applyAlignment="1">
      <alignment horizontal="center" vertical="center" wrapText="1"/>
    </xf>
    <xf numFmtId="167" fontId="30" fillId="8" borderId="23" xfId="0" applyNumberFormat="1" applyFont="1" applyFill="1" applyBorder="1" applyAlignment="1">
      <alignment horizontal="center" vertical="center" wrapText="1"/>
    </xf>
    <xf numFmtId="167" fontId="30" fillId="8" borderId="16" xfId="0" applyNumberFormat="1" applyFont="1" applyFill="1" applyBorder="1" applyAlignment="1">
      <alignment horizontal="center" vertical="center" wrapText="1"/>
    </xf>
    <xf numFmtId="0" fontId="36" fillId="0" borderId="42" xfId="0" applyFont="1" applyBorder="1" applyAlignment="1">
      <alignment horizontal="center" vertical="center"/>
    </xf>
    <xf numFmtId="49" fontId="33" fillId="0" borderId="42" xfId="0" applyNumberFormat="1" applyFont="1" applyBorder="1" applyAlignment="1">
      <alignment horizontal="center" vertical="center"/>
    </xf>
    <xf numFmtId="0" fontId="31" fillId="14" borderId="34" xfId="0" applyFont="1" applyFill="1" applyBorder="1" applyAlignment="1">
      <alignment horizontal="center" vertical="center"/>
    </xf>
    <xf numFmtId="0" fontId="31" fillId="14" borderId="41" xfId="0" applyFont="1" applyFill="1" applyBorder="1" applyAlignment="1">
      <alignment horizontal="center" vertical="center"/>
    </xf>
    <xf numFmtId="0" fontId="31" fillId="14" borderId="33" xfId="0" applyFont="1" applyFill="1" applyBorder="1" applyAlignment="1">
      <alignment horizontal="center" vertical="center"/>
    </xf>
    <xf numFmtId="0" fontId="31" fillId="14" borderId="24" xfId="0" applyFont="1" applyFill="1" applyBorder="1" applyAlignment="1">
      <alignment horizontal="center" vertical="center"/>
    </xf>
    <xf numFmtId="0" fontId="31" fillId="14" borderId="23" xfId="0" applyFont="1" applyFill="1" applyBorder="1" applyAlignment="1">
      <alignment horizontal="center" vertical="center"/>
    </xf>
    <xf numFmtId="0" fontId="31" fillId="14" borderId="16" xfId="0" applyFont="1" applyFill="1" applyBorder="1" applyAlignment="1">
      <alignment horizontal="center" vertical="center"/>
    </xf>
    <xf numFmtId="0" fontId="10" fillId="7" borderId="1" xfId="0" applyFont="1" applyFill="1" applyBorder="1" applyAlignment="1">
      <alignment horizontal="center" vertical="center"/>
    </xf>
    <xf numFmtId="0" fontId="10" fillId="7" borderId="11" xfId="0" applyFont="1" applyFill="1" applyBorder="1" applyAlignment="1">
      <alignment horizontal="center" vertical="center"/>
    </xf>
    <xf numFmtId="0" fontId="10" fillId="7" borderId="2" xfId="0" applyFont="1" applyFill="1" applyBorder="1" applyAlignment="1">
      <alignment horizontal="center" vertical="center"/>
    </xf>
    <xf numFmtId="0" fontId="11" fillId="0" borderId="4" xfId="0" applyFont="1" applyBorder="1" applyAlignment="1">
      <alignment horizontal="left" wrapText="1"/>
    </xf>
    <xf numFmtId="3" fontId="11" fillId="2" borderId="0" xfId="0" applyNumberFormat="1" applyFont="1" applyFill="1" applyAlignment="1">
      <alignment horizontal="left"/>
    </xf>
    <xf numFmtId="0" fontId="14" fillId="2" borderId="0" xfId="0" applyFont="1" applyFill="1" applyAlignment="1">
      <alignment horizontal="left" vertical="center"/>
    </xf>
    <xf numFmtId="0" fontId="23" fillId="16" borderId="15" xfId="0" applyFont="1" applyFill="1" applyBorder="1" applyAlignment="1">
      <alignment horizontal="center" vertical="center" wrapText="1"/>
    </xf>
    <xf numFmtId="0" fontId="23" fillId="4" borderId="15" xfId="0" applyFont="1" applyFill="1" applyBorder="1" applyAlignment="1">
      <alignment horizontal="center" vertical="center" wrapText="1"/>
    </xf>
    <xf numFmtId="44" fontId="7" fillId="0" borderId="27" xfId="0" applyNumberFormat="1" applyFont="1" applyBorder="1" applyAlignment="1">
      <alignment horizontal="center" vertical="center" wrapText="1"/>
    </xf>
    <xf numFmtId="44" fontId="7" fillId="0" borderId="28" xfId="0" applyNumberFormat="1" applyFont="1" applyBorder="1" applyAlignment="1">
      <alignment horizontal="center" vertical="center" wrapText="1"/>
    </xf>
    <xf numFmtId="44" fontId="7" fillId="0" borderId="29" xfId="0" applyNumberFormat="1" applyFont="1" applyBorder="1" applyAlignment="1">
      <alignment horizontal="center" vertical="center" wrapText="1"/>
    </xf>
    <xf numFmtId="0" fontId="4" fillId="3" borderId="3" xfId="7" applyFont="1" applyFill="1" applyBorder="1" applyAlignment="1">
      <alignment horizontal="center"/>
    </xf>
    <xf numFmtId="0" fontId="4" fillId="3" borderId="5" xfId="7" applyFont="1" applyFill="1" applyBorder="1" applyAlignment="1">
      <alignment horizontal="center"/>
    </xf>
  </cellXfs>
  <cellStyles count="14">
    <cellStyle name="Currency" xfId="1" builtinId="4"/>
    <cellStyle name="Currency 2" xfId="4" xr:uid="{00000000-0005-0000-0000-000031000000}"/>
    <cellStyle name="Currency 3" xfId="5" xr:uid="{00000000-0005-0000-0000-000032000000}"/>
    <cellStyle name="Currency 4" xfId="6" xr:uid="{00000000-0005-0000-0000-000033000000}"/>
    <cellStyle name="Normal" xfId="0" builtinId="0"/>
    <cellStyle name="Normal 2" xfId="7" xr:uid="{00000000-0005-0000-0000-000034000000}"/>
    <cellStyle name="Normal 2 3" xfId="8" xr:uid="{00000000-0005-0000-0000-000035000000}"/>
    <cellStyle name="Normal 3" xfId="9" xr:uid="{00000000-0005-0000-0000-000036000000}"/>
    <cellStyle name="Normal 4" xfId="10" xr:uid="{00000000-0005-0000-0000-000037000000}"/>
    <cellStyle name="Note" xfId="3" builtinId="10"/>
    <cellStyle name="Percent" xfId="2" builtinId="5"/>
    <cellStyle name="Percent 2" xfId="11" xr:uid="{00000000-0005-0000-0000-000038000000}"/>
    <cellStyle name="Percent 3" xfId="12" xr:uid="{00000000-0005-0000-0000-000039000000}"/>
    <cellStyle name="Style 1" xfId="13" xr:uid="{00000000-0005-0000-0000-00003A000000}"/>
  </cellStyles>
  <dxfs count="0"/>
  <tableStyles count="0" defaultTableStyle="TableStyleMedium9" defaultPivotStyle="PivotStyleLight16"/>
  <colors>
    <mruColors>
      <color rgb="FF00496A"/>
      <color rgb="FF4A4C4C"/>
      <color rgb="FF013554"/>
      <color rgb="FF001521"/>
      <color rgb="FF00A6A5"/>
      <color rgb="FF00C8C3"/>
      <color rgb="FF00A8A4"/>
      <color rgb="FF00DED9"/>
      <color rgb="FF00BCB8"/>
      <color rgb="FF00DA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DIVISION COST COMPARISON</c:v>
          </c:tx>
          <c:spPr>
            <a:noFill/>
            <a:ln w="9525" cap="flat" cmpd="sng" algn="ctr">
              <a:solidFill>
                <a:schemeClr val="accent1"/>
              </a:solidFill>
              <a:miter lim="800000"/>
            </a:ln>
            <a:effectLst>
              <a:glow rad="63500">
                <a:schemeClr val="accent1">
                  <a:satMod val="175000"/>
                  <a:alpha val="25000"/>
                </a:schemeClr>
              </a:glow>
            </a:effectLst>
          </c:spPr>
          <c:invertIfNegative val="0"/>
          <c:cat>
            <c:strRef>
              <c:f>'General Summary'!$B$5:$B$18</c:f>
              <c:strCache>
                <c:ptCount val="14"/>
                <c:pt idx="0">
                  <c:v>General Requirments</c:v>
                </c:pt>
                <c:pt idx="1">
                  <c:v>Concrete</c:v>
                </c:pt>
                <c:pt idx="2">
                  <c:v>Masonry</c:v>
                </c:pt>
                <c:pt idx="3">
                  <c:v>Metals</c:v>
                </c:pt>
                <c:pt idx="4">
                  <c:v>Wood &amp; Plastics</c:v>
                </c:pt>
                <c:pt idx="5">
                  <c:v>Thermal &amp; Moisture Protection</c:v>
                </c:pt>
                <c:pt idx="6">
                  <c:v>Opening</c:v>
                </c:pt>
                <c:pt idx="7">
                  <c:v>Finishes</c:v>
                </c:pt>
                <c:pt idx="8">
                  <c:v>Specialties</c:v>
                </c:pt>
                <c:pt idx="9">
                  <c:v>Equipmets</c:v>
                </c:pt>
                <c:pt idx="10">
                  <c:v>Furnishing</c:v>
                </c:pt>
                <c:pt idx="11">
                  <c:v>Plumbing</c:v>
                </c:pt>
                <c:pt idx="12">
                  <c:v>HVAC</c:v>
                </c:pt>
                <c:pt idx="13">
                  <c:v>Electrical</c:v>
                </c:pt>
              </c:strCache>
            </c:strRef>
          </c:cat>
          <c:val>
            <c:numRef>
              <c:f>'General Summary'!$C$5:$C$18</c:f>
              <c:numCache>
                <c:formatCode>_("$"* #,##0_);_("$"* \(#,##0\);_("$"* "-"??_);_(@_)</c:formatCode>
                <c:ptCount val="14"/>
                <c:pt idx="0">
                  <c:v>285000</c:v>
                </c:pt>
                <c:pt idx="1">
                  <c:v>572212.75381696201</c:v>
                </c:pt>
                <c:pt idx="2">
                  <c:v>18126.173448855701</c:v>
                </c:pt>
                <c:pt idx="3">
                  <c:v>62690.617654000001</c:v>
                </c:pt>
                <c:pt idx="4">
                  <c:v>504106.15080645803</c:v>
                </c:pt>
                <c:pt idx="5">
                  <c:v>304109.34672874998</c:v>
                </c:pt>
                <c:pt idx="6">
                  <c:v>299173.86228</c:v>
                </c:pt>
                <c:pt idx="7">
                  <c:v>880869.27811875497</c:v>
                </c:pt>
                <c:pt idx="8">
                  <c:v>172326.72</c:v>
                </c:pt>
                <c:pt idx="9">
                  <c:v>62783.7</c:v>
                </c:pt>
                <c:pt idx="10">
                  <c:v>79049.440879999995</c:v>
                </c:pt>
                <c:pt idx="11">
                  <c:v>143893.78</c:v>
                </c:pt>
                <c:pt idx="12">
                  <c:v>252480</c:v>
                </c:pt>
                <c:pt idx="13">
                  <c:v>231548.45860000001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D2-4A13-AD4F-C0C4D5F0DE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15"/>
        <c:overlap val="-40"/>
        <c:axId val="525215184"/>
        <c:axId val="525188976"/>
      </c:barChart>
      <c:catAx>
        <c:axId val="525215184"/>
        <c:scaling>
          <c:orientation val="minMax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75000"/>
                      <a:lumOff val="25000"/>
                    </a:schemeClr>
                  </a:gs>
                  <a:gs pos="0">
                    <a:schemeClr val="dk1">
                      <a:lumMod val="65000"/>
                      <a:lumOff val="3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5188976"/>
        <c:crosses val="autoZero"/>
        <c:auto val="1"/>
        <c:lblAlgn val="ctr"/>
        <c:lblOffset val="100"/>
        <c:noMultiLvlLbl val="0"/>
      </c:catAx>
      <c:valAx>
        <c:axId val="525188976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75000"/>
                      <a:lumOff val="25000"/>
                    </a:schemeClr>
                  </a:gs>
                  <a:gs pos="0">
                    <a:schemeClr val="dk1">
                      <a:lumMod val="65000"/>
                      <a:lumOff val="3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_(&quot;$&quot;* #,##0_);_(&quot;$&quot;* \(#,##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52151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e26ef5fa-3baa-4594-b161-236a761c8d4f}"/>
      </c:ext>
    </c:extLst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3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75000"/>
                <a:lumOff val="25000"/>
              </a:schemeClr>
            </a:gs>
            <a:gs pos="0">
              <a:schemeClr val="dk1">
                <a:lumMod val="65000"/>
                <a:lumOff val="3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75000"/>
                <a:lumOff val="25000"/>
                <a:alpha val="25000"/>
              </a:schemeClr>
            </a:gs>
            <a:gs pos="0">
              <a:schemeClr val="dk1">
                <a:lumMod val="65000"/>
                <a:lumOff val="35000"/>
                <a:alpha val="2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1543</xdr:colOff>
      <xdr:row>3</xdr:row>
      <xdr:rowOff>10886</xdr:rowOff>
    </xdr:from>
    <xdr:to>
      <xdr:col>14</xdr:col>
      <xdr:colOff>2969</xdr:colOff>
      <xdr:row>24</xdr:row>
      <xdr:rowOff>196496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457200</xdr:colOff>
      <xdr:row>1</xdr:row>
      <xdr:rowOff>0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2200275" y="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</xdr:row>
      <xdr:rowOff>0</xdr:rowOff>
    </xdr:from>
    <xdr:ext cx="184731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1743075" y="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Integral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Integral">
      <a:majorFont>
        <a:latin typeface="Tw Cen MT Condensed"/>
        <a:ea typeface=""/>
        <a:cs typeface=""/>
        <a:font script="Grek" typeface="Calibri"/>
        <a:font script="Cyrl" typeface="Calibri"/>
        <a:font script="Jpan" typeface="メイリオ"/>
        <a:font script="Hang" typeface="HY얕은샘물M"/>
        <a:font script="Hans" typeface="华文仿宋"/>
        <a:font script="Hant" typeface="微軟正黑體"/>
        <a:font script="Arab" typeface="Arial"/>
        <a:font script="Hebr" typeface="Levenim MT"/>
        <a:font script="Thai" typeface="Frees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Tw Cen MT"/>
        <a:ea typeface=""/>
        <a:cs typeface=""/>
        <a:font script="Grek" typeface="Calibri"/>
        <a:font script="Cyrl" typeface="Calibri"/>
        <a:font script="Jpan" typeface="メイリオ"/>
        <a:font script="Hang" typeface="HY얕은샘물M"/>
        <a:font script="Hans" typeface="华文仿宋"/>
        <a:font script="Hant" typeface="微軟正黑體"/>
        <a:font script="Arab" typeface="Arial"/>
        <a:font script="Hebr" typeface="Levenim MT"/>
        <a:font script="Thai" typeface="Frees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Integral">
      <a:fillStyleLst>
        <a:solidFill>
          <a:schemeClr val="phClr"/>
        </a:solidFill>
        <a:gradFill rotWithShape="1">
          <a:gsLst>
            <a:gs pos="0">
              <a:schemeClr val="phClr">
                <a:tint val="83000"/>
                <a:satMod val="100000"/>
                <a:lumMod val="100000"/>
              </a:schemeClr>
            </a:gs>
            <a:gs pos="100000">
              <a:schemeClr val="phClr">
                <a:tint val="61000"/>
                <a:satMod val="150000"/>
                <a:lumMod val="100000"/>
              </a:schemeClr>
            </a:gs>
          </a:gsLst>
          <a:path path="circle">
            <a:fillToRect l="100000" t="100000" r="100000" b="100000"/>
          </a:path>
        </a:gradFill>
        <a:gradFill rotWithShape="1">
          <a:gsLst>
            <a:gs pos="0">
              <a:schemeClr val="phClr">
                <a:tint val="100000"/>
                <a:shade val="85000"/>
                <a:satMod val="100000"/>
                <a:lumMod val="100000"/>
              </a:schemeClr>
            </a:gs>
            <a:gs pos="100000">
              <a:schemeClr val="phClr">
                <a:tint val="90000"/>
                <a:shade val="100000"/>
                <a:satMod val="150000"/>
                <a:lumMod val="100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5875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50800" dist="12700" dir="5400000" algn="ctr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76200" dist="25400" dir="5400000" algn="ctr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flat" dir="t">
              <a:rot lat="0" lon="0" rev="3600000"/>
            </a:lightRig>
          </a:scene3d>
          <a:sp3d contourW="12700" prstMaterial="flat">
            <a:bevelT w="38100" h="44450" prst="angle"/>
            <a:contourClr>
              <a:schemeClr val="phClr">
                <a:shade val="35000"/>
                <a:satMod val="160000"/>
              </a:schemeClr>
            </a:contourClr>
          </a:sp3d>
        </a:effectStyle>
      </a:effectStyleLst>
      <a:bgFillStyleLst>
        <a:solidFill>
          <a:schemeClr val="phClr"/>
        </a:solidFill>
        <a:solidFill>
          <a:schemeClr val="phClr">
            <a:tint val="95000"/>
            <a:shade val="85000"/>
            <a:satMod val="125000"/>
          </a:schemeClr>
        </a:solidFill>
        <a:blipFill rotWithShape="1">
          <a:tile tx="0" ty="0" sx="40000" sy="40000" flip="none" algn="tl"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/>
  </sheetPr>
  <dimension ref="A1:N35"/>
  <sheetViews>
    <sheetView view="pageBreakPreview" zoomScale="85" zoomScaleNormal="100" workbookViewId="0">
      <selection activeCell="B18" sqref="B18:C18"/>
    </sheetView>
  </sheetViews>
  <sheetFormatPr defaultColWidth="9" defaultRowHeight="14"/>
  <cols>
    <col min="1" max="1" width="42.33203125" style="291" customWidth="1"/>
    <col min="2" max="2" width="63.08203125" style="291" customWidth="1"/>
    <col min="3" max="3" width="17.5" style="292" customWidth="1"/>
    <col min="4" max="16384" width="9" style="291"/>
  </cols>
  <sheetData>
    <row r="1" spans="1:14" ht="20.5">
      <c r="A1" s="319" t="s">
        <v>0</v>
      </c>
      <c r="B1" s="320"/>
      <c r="C1" s="320"/>
      <c r="D1" s="320"/>
      <c r="E1" s="320"/>
      <c r="F1" s="320"/>
      <c r="G1" s="320"/>
      <c r="H1" s="320"/>
      <c r="I1" s="320"/>
      <c r="J1" s="320"/>
      <c r="K1" s="320"/>
      <c r="L1" s="320"/>
      <c r="M1" s="320"/>
      <c r="N1" s="321"/>
    </row>
    <row r="2" spans="1:14" ht="21" customHeight="1">
      <c r="A2" s="293" t="s">
        <v>1</v>
      </c>
      <c r="B2" s="294">
        <v>22000</v>
      </c>
      <c r="C2" s="324"/>
      <c r="D2" s="325"/>
      <c r="E2" s="325"/>
      <c r="F2" s="325"/>
      <c r="G2" s="325"/>
      <c r="H2" s="325"/>
      <c r="I2" s="325"/>
      <c r="J2" s="325"/>
      <c r="K2" s="325"/>
      <c r="L2" s="325"/>
      <c r="M2" s="325"/>
      <c r="N2" s="326"/>
    </row>
    <row r="3" spans="1:14" ht="21" customHeight="1">
      <c r="A3" s="293" t="s">
        <v>2</v>
      </c>
      <c r="B3" s="295">
        <f>C25/B2</f>
        <v>221.467121731117</v>
      </c>
      <c r="C3" s="327"/>
      <c r="D3" s="328"/>
      <c r="E3" s="328"/>
      <c r="F3" s="328"/>
      <c r="G3" s="328"/>
      <c r="H3" s="328"/>
      <c r="I3" s="328"/>
      <c r="J3" s="328"/>
      <c r="K3" s="328"/>
      <c r="L3" s="328"/>
      <c r="M3" s="328"/>
      <c r="N3" s="329"/>
    </row>
    <row r="4" spans="1:14" ht="36">
      <c r="A4" s="296" t="s">
        <v>3</v>
      </c>
      <c r="B4" s="296" t="s">
        <v>4</v>
      </c>
      <c r="C4" s="296" t="s">
        <v>5</v>
      </c>
      <c r="N4" s="317"/>
    </row>
    <row r="5" spans="1:14" ht="15.5">
      <c r="A5" s="297">
        <v>1000</v>
      </c>
      <c r="B5" s="298" t="s">
        <v>6</v>
      </c>
      <c r="C5" s="299">
        <f>Estimate!Q15</f>
        <v>285000</v>
      </c>
      <c r="N5" s="317"/>
    </row>
    <row r="6" spans="1:14" ht="15.5">
      <c r="A6" s="300">
        <v>3000</v>
      </c>
      <c r="B6" s="301" t="s">
        <v>7</v>
      </c>
      <c r="C6" s="302">
        <f>Estimate!Q90</f>
        <v>572212.75381696201</v>
      </c>
      <c r="N6" s="317"/>
    </row>
    <row r="7" spans="1:14" ht="15.5">
      <c r="A7" s="300">
        <v>4000</v>
      </c>
      <c r="B7" s="301" t="s">
        <v>8</v>
      </c>
      <c r="C7" s="302">
        <f>Estimate!Q98</f>
        <v>18126.173448855701</v>
      </c>
      <c r="N7" s="317"/>
    </row>
    <row r="8" spans="1:14" ht="15.5">
      <c r="A8" s="300">
        <v>5000</v>
      </c>
      <c r="B8" s="301" t="s">
        <v>9</v>
      </c>
      <c r="C8" s="302">
        <f>Estimate!Q139</f>
        <v>62690.617654000001</v>
      </c>
      <c r="N8" s="317"/>
    </row>
    <row r="9" spans="1:14" ht="15.5">
      <c r="A9" s="300">
        <v>6000</v>
      </c>
      <c r="B9" s="301" t="s">
        <v>10</v>
      </c>
      <c r="C9" s="302">
        <f>Estimate!Q239</f>
        <v>504106.15080645803</v>
      </c>
      <c r="N9" s="317"/>
    </row>
    <row r="10" spans="1:14" ht="15.5">
      <c r="A10" s="300">
        <v>7000</v>
      </c>
      <c r="B10" s="301" t="s">
        <v>11</v>
      </c>
      <c r="C10" s="302">
        <f>Estimate!Q268</f>
        <v>304109.34672874998</v>
      </c>
      <c r="N10" s="317"/>
    </row>
    <row r="11" spans="1:14" ht="15.5">
      <c r="A11" s="300">
        <v>8000</v>
      </c>
      <c r="B11" s="301" t="s">
        <v>12</v>
      </c>
      <c r="C11" s="302">
        <f>Estimate!Q331</f>
        <v>299173.86228</v>
      </c>
      <c r="N11" s="317"/>
    </row>
    <row r="12" spans="1:14" ht="15.5">
      <c r="A12" s="300">
        <v>9000</v>
      </c>
      <c r="B12" s="301" t="s">
        <v>13</v>
      </c>
      <c r="C12" s="302">
        <f>Estimate!Q582</f>
        <v>880869.27811875497</v>
      </c>
      <c r="N12" s="317"/>
    </row>
    <row r="13" spans="1:14" ht="15.5">
      <c r="A13" s="300">
        <v>10000</v>
      </c>
      <c r="B13" s="301" t="s">
        <v>14</v>
      </c>
      <c r="C13" s="302">
        <f>Estimate!Q609</f>
        <v>172326.72</v>
      </c>
      <c r="N13" s="317"/>
    </row>
    <row r="14" spans="1:14" ht="15.5">
      <c r="A14" s="300">
        <v>11000</v>
      </c>
      <c r="B14" s="301" t="s">
        <v>15</v>
      </c>
      <c r="C14" s="302">
        <f>Estimate!Q630</f>
        <v>62783.7</v>
      </c>
      <c r="N14" s="317"/>
    </row>
    <row r="15" spans="1:14" ht="15.5">
      <c r="A15" s="300">
        <v>12000</v>
      </c>
      <c r="B15" s="301" t="s">
        <v>16</v>
      </c>
      <c r="C15" s="302">
        <f>Estimate!Q647</f>
        <v>79049.440879999995</v>
      </c>
      <c r="N15" s="317"/>
    </row>
    <row r="16" spans="1:14" ht="15.5">
      <c r="A16" s="300">
        <v>22000</v>
      </c>
      <c r="B16" s="301" t="s">
        <v>17</v>
      </c>
      <c r="C16" s="302">
        <f>Estimate!Q663</f>
        <v>143893.78</v>
      </c>
      <c r="N16" s="317"/>
    </row>
    <row r="17" spans="1:14" ht="15.5">
      <c r="A17" s="300">
        <v>23000</v>
      </c>
      <c r="B17" s="301" t="s">
        <v>18</v>
      </c>
      <c r="C17" s="302">
        <f>Estimate!Q672</f>
        <v>252480</v>
      </c>
      <c r="N17" s="317"/>
    </row>
    <row r="18" spans="1:14" ht="15.5">
      <c r="A18" s="300">
        <v>26000</v>
      </c>
      <c r="B18" s="301" t="s">
        <v>19</v>
      </c>
      <c r="C18" s="302">
        <f>Estimate!Q714</f>
        <v>231548.45860000001</v>
      </c>
      <c r="N18" s="317"/>
    </row>
    <row r="19" spans="1:14" ht="15">
      <c r="A19" s="322" t="s">
        <v>20</v>
      </c>
      <c r="B19" s="322"/>
      <c r="C19" s="303">
        <f>SUM(C5:C18)</f>
        <v>3868370.2823337801</v>
      </c>
      <c r="E19" s="304"/>
      <c r="N19" s="317"/>
    </row>
    <row r="20" spans="1:14" ht="15">
      <c r="A20" s="323"/>
      <c r="B20" s="323"/>
      <c r="C20" s="323"/>
      <c r="N20" s="317"/>
    </row>
    <row r="21" spans="1:14" ht="15">
      <c r="A21" s="305" t="s">
        <v>21</v>
      </c>
      <c r="B21" s="306">
        <v>0.05</v>
      </c>
      <c r="C21" s="307">
        <f>C19*B21</f>
        <v>193418.51411668901</v>
      </c>
      <c r="D21" s="304"/>
      <c r="E21" s="304"/>
      <c r="N21" s="317"/>
    </row>
    <row r="22" spans="1:14" ht="15">
      <c r="A22" s="305" t="s">
        <v>22</v>
      </c>
      <c r="B22" s="306">
        <v>0.15</v>
      </c>
      <c r="C22" s="307">
        <f>C19*B22</f>
        <v>580255.54235006694</v>
      </c>
      <c r="N22" s="317"/>
    </row>
    <row r="23" spans="1:14" ht="15">
      <c r="A23" s="308" t="s">
        <v>23</v>
      </c>
      <c r="B23" s="309">
        <v>7.0000000000000007E-2</v>
      </c>
      <c r="C23" s="310">
        <f>SUM(Estimate!O17:O712)*B23</f>
        <v>172206.78504902401</v>
      </c>
      <c r="N23" s="317"/>
    </row>
    <row r="24" spans="1:14" ht="15">
      <c r="A24" s="311" t="s">
        <v>24</v>
      </c>
      <c r="B24" s="312">
        <v>1.4999999999999999E-2</v>
      </c>
      <c r="C24" s="313">
        <f>C19*B24</f>
        <v>58025.554235006697</v>
      </c>
      <c r="N24" s="317"/>
    </row>
    <row r="25" spans="1:14" ht="15">
      <c r="A25" s="311" t="s">
        <v>25</v>
      </c>
      <c r="B25" s="312"/>
      <c r="C25" s="313">
        <f>SUM(C19,C21:C24)</f>
        <v>4872276.67808457</v>
      </c>
      <c r="D25" s="314"/>
      <c r="E25" s="315"/>
      <c r="F25" s="315"/>
      <c r="G25" s="315"/>
      <c r="H25" s="315"/>
      <c r="I25" s="315"/>
      <c r="J25" s="315"/>
      <c r="K25" s="315"/>
      <c r="L25" s="315"/>
      <c r="M25" s="315"/>
      <c r="N25" s="318"/>
    </row>
    <row r="26" spans="1:14">
      <c r="C26" s="316"/>
    </row>
    <row r="35" spans="3:3">
      <c r="C35" s="291"/>
    </row>
  </sheetData>
  <mergeCells count="4">
    <mergeCell ref="A1:N1"/>
    <mergeCell ref="A19:B19"/>
    <mergeCell ref="A20:C20"/>
    <mergeCell ref="C2:N3"/>
  </mergeCells>
  <pageMargins left="0.7" right="0.7" top="0.75" bottom="0.75" header="0.3" footer="0.3"/>
  <pageSetup scale="5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70C0"/>
    <pageSetUpPr fitToPage="1"/>
  </sheetPr>
  <dimension ref="A1:AJ722"/>
  <sheetViews>
    <sheetView showGridLines="0" tabSelected="1" topLeftCell="A2" zoomScale="55" zoomScaleNormal="55" zoomScaleSheetLayoutView="85" workbookViewId="0">
      <pane ySplit="5" topLeftCell="A7" activePane="bottomLeft" state="frozen"/>
      <selection pane="bottomLeft" activeCell="D4" sqref="D4"/>
    </sheetView>
  </sheetViews>
  <sheetFormatPr defaultColWidth="9" defaultRowHeight="15.5"/>
  <cols>
    <col min="1" max="1" width="4.08203125" style="32" customWidth="1"/>
    <col min="2" max="2" width="9.25" style="32" customWidth="1"/>
    <col min="3" max="3" width="9.5" style="32" customWidth="1"/>
    <col min="4" max="4" width="68.83203125" style="32" customWidth="1"/>
    <col min="5" max="6" width="11.5" style="33" customWidth="1"/>
    <col min="7" max="7" width="14" style="33" customWidth="1"/>
    <col min="8" max="8" width="10.5" style="32" customWidth="1"/>
    <col min="9" max="10" width="14" style="33" customWidth="1"/>
    <col min="11" max="12" width="12.5" style="32" customWidth="1"/>
    <col min="13" max="13" width="14.5" style="32" customWidth="1"/>
    <col min="14" max="14" width="19.08203125" style="32" customWidth="1"/>
    <col min="15" max="15" width="14.58203125" style="32" customWidth="1"/>
    <col min="16" max="16" width="12.5" style="32" customWidth="1"/>
    <col min="17" max="17" width="15.25" style="28" customWidth="1"/>
    <col min="18" max="18" width="12.5" style="32" customWidth="1"/>
    <col min="19" max="16384" width="9" style="32"/>
  </cols>
  <sheetData>
    <row r="1" spans="1:18" s="26" customFormat="1" ht="15" hidden="1" customHeight="1">
      <c r="A1" s="34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</row>
    <row r="2" spans="1:18" ht="18.5">
      <c r="A2" s="330" t="s">
        <v>26</v>
      </c>
      <c r="B2" s="331"/>
      <c r="C2" s="331"/>
      <c r="D2" s="331"/>
      <c r="E2" s="331"/>
      <c r="F2" s="331"/>
      <c r="G2" s="331"/>
      <c r="H2" s="331"/>
      <c r="I2" s="331"/>
      <c r="J2" s="331"/>
      <c r="K2" s="331"/>
      <c r="L2" s="331"/>
      <c r="M2" s="331"/>
      <c r="N2" s="331"/>
      <c r="O2" s="331"/>
      <c r="P2" s="331"/>
      <c r="Q2" s="332"/>
    </row>
    <row r="3" spans="1:18" ht="17.5" customHeight="1">
      <c r="A3" s="36"/>
      <c r="B3" s="333" t="s">
        <v>27</v>
      </c>
      <c r="C3" s="333"/>
      <c r="D3" s="32" t="s">
        <v>28</v>
      </c>
      <c r="E3" s="37"/>
      <c r="F3" s="37"/>
      <c r="G3" s="38"/>
      <c r="H3" s="38"/>
      <c r="I3" s="38"/>
      <c r="J3" s="38"/>
      <c r="K3" s="38"/>
      <c r="L3" s="38"/>
      <c r="M3" s="38"/>
      <c r="N3" s="38"/>
      <c r="O3" s="85"/>
      <c r="P3" s="86"/>
      <c r="Q3" s="102"/>
    </row>
    <row r="4" spans="1:18" ht="18" customHeight="1">
      <c r="A4" s="36"/>
      <c r="B4" s="334" t="s">
        <v>29</v>
      </c>
      <c r="C4" s="334"/>
      <c r="D4" s="32" t="s">
        <v>30</v>
      </c>
      <c r="E4" s="39"/>
      <c r="F4" s="39"/>
      <c r="G4" s="39"/>
      <c r="H4" s="40"/>
      <c r="I4" s="39"/>
      <c r="J4" s="39"/>
      <c r="K4" s="38"/>
      <c r="L4" s="38"/>
      <c r="M4" s="38"/>
      <c r="N4" s="38"/>
      <c r="O4" s="85"/>
      <c r="P4" s="86"/>
      <c r="Q4" s="102"/>
    </row>
    <row r="5" spans="1:18" ht="24" customHeight="1">
      <c r="A5" s="36"/>
      <c r="B5" s="335" t="s">
        <v>31</v>
      </c>
      <c r="C5" s="335"/>
      <c r="D5" s="32" t="s">
        <v>32</v>
      </c>
      <c r="E5" s="41"/>
      <c r="F5" s="39"/>
      <c r="G5" s="39"/>
      <c r="H5" s="41"/>
      <c r="I5" s="39"/>
      <c r="J5" s="39"/>
      <c r="K5" s="87"/>
      <c r="L5" s="87"/>
      <c r="M5" s="87"/>
      <c r="N5" s="87"/>
      <c r="O5" s="88"/>
      <c r="P5" s="89"/>
      <c r="Q5" s="102"/>
    </row>
    <row r="6" spans="1:18" s="26" customFormat="1" ht="59.5" customHeight="1">
      <c r="A6" s="42" t="s">
        <v>33</v>
      </c>
      <c r="B6" s="43" t="s">
        <v>34</v>
      </c>
      <c r="C6" s="43" t="s">
        <v>35</v>
      </c>
      <c r="D6" s="44" t="s">
        <v>4</v>
      </c>
      <c r="E6" s="43" t="s">
        <v>36</v>
      </c>
      <c r="F6" s="43" t="s">
        <v>37</v>
      </c>
      <c r="G6" s="43" t="s">
        <v>38</v>
      </c>
      <c r="H6" s="43" t="s">
        <v>39</v>
      </c>
      <c r="I6" s="43" t="s">
        <v>40</v>
      </c>
      <c r="J6" s="43" t="s">
        <v>41</v>
      </c>
      <c r="K6" s="43" t="s">
        <v>42</v>
      </c>
      <c r="L6" s="43" t="s">
        <v>43</v>
      </c>
      <c r="M6" s="43" t="s">
        <v>44</v>
      </c>
      <c r="N6" s="43" t="s">
        <v>45</v>
      </c>
      <c r="O6" s="43" t="s">
        <v>46</v>
      </c>
      <c r="P6" s="43" t="s">
        <v>47</v>
      </c>
      <c r="Q6" s="103" t="s">
        <v>48</v>
      </c>
    </row>
    <row r="7" spans="1:18" s="27" customFormat="1">
      <c r="A7" s="45"/>
      <c r="B7" s="46"/>
      <c r="C7" s="47">
        <v>1</v>
      </c>
      <c r="D7" s="48" t="s">
        <v>49</v>
      </c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104"/>
    </row>
    <row r="8" spans="1:18" s="28" customFormat="1">
      <c r="A8" s="49">
        <f>IF(F8&lt;&gt;"",1+MAX($A$2:A7),"")</f>
        <v>1</v>
      </c>
      <c r="B8" s="50"/>
      <c r="C8" s="50"/>
      <c r="D8" s="51" t="s">
        <v>50</v>
      </c>
      <c r="E8" s="52">
        <v>1</v>
      </c>
      <c r="F8" s="53">
        <v>0</v>
      </c>
      <c r="G8" s="54">
        <f t="shared" ref="G8:G14" si="0">(F8*E8)+E8</f>
        <v>1</v>
      </c>
      <c r="H8" s="52" t="s">
        <v>51</v>
      </c>
      <c r="I8" s="90">
        <v>0</v>
      </c>
      <c r="J8" s="91">
        <f t="shared" ref="J8:J14" si="1">+I8*G8</f>
        <v>0</v>
      </c>
      <c r="K8" s="92">
        <v>0</v>
      </c>
      <c r="L8" s="93">
        <f t="shared" ref="L8:L14" si="2">I8*K8</f>
        <v>0</v>
      </c>
      <c r="M8" s="93">
        <f t="shared" ref="M8:M14" si="3">K8*J8</f>
        <v>0</v>
      </c>
      <c r="N8" s="93">
        <v>0</v>
      </c>
      <c r="O8" s="93">
        <f t="shared" ref="O8:O14" si="4">N8*G8</f>
        <v>0</v>
      </c>
      <c r="P8" s="93">
        <f>(I8*K8)+N8</f>
        <v>0</v>
      </c>
      <c r="Q8" s="338">
        <v>285000</v>
      </c>
      <c r="R8" s="105"/>
    </row>
    <row r="9" spans="1:18" s="28" customFormat="1">
      <c r="A9" s="55">
        <f>IF(F9&lt;&gt;"",1+MAX($A$2:A8),"")</f>
        <v>2</v>
      </c>
      <c r="B9" s="56"/>
      <c r="C9" s="56"/>
      <c r="D9" s="57" t="s">
        <v>52</v>
      </c>
      <c r="E9" s="58">
        <v>1</v>
      </c>
      <c r="F9" s="59">
        <v>0</v>
      </c>
      <c r="G9" s="60">
        <f t="shared" si="0"/>
        <v>1</v>
      </c>
      <c r="H9" s="58" t="s">
        <v>51</v>
      </c>
      <c r="I9" s="90">
        <v>0</v>
      </c>
      <c r="J9" s="91">
        <f t="shared" si="1"/>
        <v>0</v>
      </c>
      <c r="K9" s="92">
        <v>0</v>
      </c>
      <c r="L9" s="93">
        <f t="shared" si="2"/>
        <v>0</v>
      </c>
      <c r="M9" s="93">
        <f t="shared" si="3"/>
        <v>0</v>
      </c>
      <c r="N9" s="93">
        <v>0</v>
      </c>
      <c r="O9" s="93">
        <f t="shared" si="4"/>
        <v>0</v>
      </c>
      <c r="P9" s="93">
        <f t="shared" ref="P9:P14" si="5">(I9*K9)+N9</f>
        <v>0</v>
      </c>
      <c r="Q9" s="339"/>
      <c r="R9" s="105"/>
    </row>
    <row r="10" spans="1:18" s="28" customFormat="1">
      <c r="A10" s="55">
        <f>IF(F10&lt;&gt;"",1+MAX($A$2:A9),"")</f>
        <v>3</v>
      </c>
      <c r="B10" s="56"/>
      <c r="C10" s="56"/>
      <c r="D10" s="57" t="s">
        <v>53</v>
      </c>
      <c r="E10" s="58">
        <v>1</v>
      </c>
      <c r="F10" s="59">
        <v>0</v>
      </c>
      <c r="G10" s="60">
        <f t="shared" si="0"/>
        <v>1</v>
      </c>
      <c r="H10" s="58" t="s">
        <v>51</v>
      </c>
      <c r="I10" s="90">
        <v>0</v>
      </c>
      <c r="J10" s="91">
        <f t="shared" si="1"/>
        <v>0</v>
      </c>
      <c r="K10" s="92">
        <v>0</v>
      </c>
      <c r="L10" s="93">
        <f t="shared" si="2"/>
        <v>0</v>
      </c>
      <c r="M10" s="93">
        <f t="shared" si="3"/>
        <v>0</v>
      </c>
      <c r="N10" s="93">
        <v>0</v>
      </c>
      <c r="O10" s="93">
        <f t="shared" si="4"/>
        <v>0</v>
      </c>
      <c r="P10" s="93">
        <f t="shared" si="5"/>
        <v>0</v>
      </c>
      <c r="Q10" s="339"/>
      <c r="R10" s="105"/>
    </row>
    <row r="11" spans="1:18" s="28" customFormat="1">
      <c r="A11" s="55">
        <f>IF(F11&lt;&gt;"",1+MAX($A$2:A10),"")</f>
        <v>4</v>
      </c>
      <c r="B11" s="56"/>
      <c r="C11" s="56"/>
      <c r="D11" s="57" t="s">
        <v>54</v>
      </c>
      <c r="E11" s="58">
        <v>1</v>
      </c>
      <c r="F11" s="59">
        <v>0</v>
      </c>
      <c r="G11" s="60">
        <f t="shared" si="0"/>
        <v>1</v>
      </c>
      <c r="H11" s="58" t="s">
        <v>51</v>
      </c>
      <c r="I11" s="90">
        <v>0</v>
      </c>
      <c r="J11" s="91">
        <f t="shared" si="1"/>
        <v>0</v>
      </c>
      <c r="K11" s="92">
        <v>0</v>
      </c>
      <c r="L11" s="93">
        <f t="shared" si="2"/>
        <v>0</v>
      </c>
      <c r="M11" s="93">
        <f t="shared" si="3"/>
        <v>0</v>
      </c>
      <c r="N11" s="93">
        <v>0</v>
      </c>
      <c r="O11" s="93">
        <f t="shared" si="4"/>
        <v>0</v>
      </c>
      <c r="P11" s="93">
        <f t="shared" si="5"/>
        <v>0</v>
      </c>
      <c r="Q11" s="339"/>
      <c r="R11" s="105"/>
    </row>
    <row r="12" spans="1:18" s="28" customFormat="1">
      <c r="A12" s="55">
        <f>IF(F12&lt;&gt;"",1+MAX($A$2:A11),"")</f>
        <v>5</v>
      </c>
      <c r="B12" s="56"/>
      <c r="C12" s="56"/>
      <c r="D12" s="57" t="s">
        <v>55</v>
      </c>
      <c r="E12" s="58">
        <v>1</v>
      </c>
      <c r="F12" s="59">
        <v>0</v>
      </c>
      <c r="G12" s="60">
        <f t="shared" si="0"/>
        <v>1</v>
      </c>
      <c r="H12" s="58" t="s">
        <v>51</v>
      </c>
      <c r="I12" s="90">
        <v>0</v>
      </c>
      <c r="J12" s="91">
        <f t="shared" si="1"/>
        <v>0</v>
      </c>
      <c r="K12" s="92">
        <v>0</v>
      </c>
      <c r="L12" s="93">
        <f t="shared" si="2"/>
        <v>0</v>
      </c>
      <c r="M12" s="93">
        <f t="shared" si="3"/>
        <v>0</v>
      </c>
      <c r="N12" s="93">
        <v>0</v>
      </c>
      <c r="O12" s="93">
        <f t="shared" si="4"/>
        <v>0</v>
      </c>
      <c r="P12" s="93">
        <f t="shared" si="5"/>
        <v>0</v>
      </c>
      <c r="Q12" s="339"/>
      <c r="R12" s="105"/>
    </row>
    <row r="13" spans="1:18" s="28" customFormat="1">
      <c r="A13" s="55">
        <f>IF(F13&lt;&gt;"",1+MAX($A$2:A12),"")</f>
        <v>6</v>
      </c>
      <c r="B13" s="56"/>
      <c r="C13" s="56"/>
      <c r="D13" s="57" t="s">
        <v>56</v>
      </c>
      <c r="E13" s="58">
        <v>1</v>
      </c>
      <c r="F13" s="59">
        <v>0</v>
      </c>
      <c r="G13" s="60">
        <f t="shared" si="0"/>
        <v>1</v>
      </c>
      <c r="H13" s="58" t="s">
        <v>51</v>
      </c>
      <c r="I13" s="90">
        <v>0</v>
      </c>
      <c r="J13" s="91">
        <f t="shared" si="1"/>
        <v>0</v>
      </c>
      <c r="K13" s="92">
        <v>0</v>
      </c>
      <c r="L13" s="93">
        <f t="shared" si="2"/>
        <v>0</v>
      </c>
      <c r="M13" s="93">
        <f t="shared" si="3"/>
        <v>0</v>
      </c>
      <c r="N13" s="93">
        <v>0</v>
      </c>
      <c r="O13" s="93">
        <f t="shared" si="4"/>
        <v>0</v>
      </c>
      <c r="P13" s="93">
        <f t="shared" si="5"/>
        <v>0</v>
      </c>
      <c r="Q13" s="339"/>
      <c r="R13" s="105"/>
    </row>
    <row r="14" spans="1:18" s="28" customFormat="1">
      <c r="A14" s="55">
        <f>IF(F14&lt;&gt;"",1+MAX($A$2:A13),"")</f>
        <v>7</v>
      </c>
      <c r="B14" s="56"/>
      <c r="C14" s="56"/>
      <c r="D14" s="61" t="s">
        <v>57</v>
      </c>
      <c r="E14" s="62">
        <v>1</v>
      </c>
      <c r="F14" s="63">
        <v>0</v>
      </c>
      <c r="G14" s="64">
        <f t="shared" si="0"/>
        <v>1</v>
      </c>
      <c r="H14" s="62" t="s">
        <v>51</v>
      </c>
      <c r="I14" s="94">
        <v>0</v>
      </c>
      <c r="J14" s="95">
        <f t="shared" si="1"/>
        <v>0</v>
      </c>
      <c r="K14" s="96">
        <v>0</v>
      </c>
      <c r="L14" s="97">
        <f t="shared" si="2"/>
        <v>0</v>
      </c>
      <c r="M14" s="97">
        <f t="shared" si="3"/>
        <v>0</v>
      </c>
      <c r="N14" s="97">
        <v>0</v>
      </c>
      <c r="O14" s="97">
        <f t="shared" si="4"/>
        <v>0</v>
      </c>
      <c r="P14" s="93">
        <f t="shared" si="5"/>
        <v>0</v>
      </c>
      <c r="Q14" s="340"/>
      <c r="R14" s="105"/>
    </row>
    <row r="15" spans="1:18" s="29" customFormat="1">
      <c r="A15" s="55" t="str">
        <f>IF(F15&lt;&gt;"",1+MAX($A$2:A14),"")</f>
        <v/>
      </c>
      <c r="B15" s="65"/>
      <c r="C15" s="66"/>
      <c r="D15" s="67" t="s">
        <v>58</v>
      </c>
      <c r="E15" s="68"/>
      <c r="F15" s="68"/>
      <c r="G15" s="68"/>
      <c r="H15" s="68"/>
      <c r="I15" s="68"/>
      <c r="J15" s="68"/>
      <c r="K15" s="98"/>
      <c r="L15" s="98"/>
      <c r="M15" s="98"/>
      <c r="N15" s="98"/>
      <c r="O15" s="98"/>
      <c r="P15" s="98"/>
      <c r="Q15" s="106">
        <f>SUM(Q8:Q14)</f>
        <v>285000</v>
      </c>
      <c r="R15" s="107"/>
    </row>
    <row r="16" spans="1:18" s="29" customFormat="1">
      <c r="A16" s="55" t="str">
        <f>IF(F16&lt;&gt;"",1+MAX($A$2:A15),"")</f>
        <v/>
      </c>
      <c r="B16" s="65"/>
      <c r="C16" s="65"/>
      <c r="D16" s="69"/>
      <c r="E16" s="69"/>
      <c r="F16" s="69"/>
      <c r="G16" s="69"/>
      <c r="H16" s="69"/>
      <c r="I16" s="69"/>
      <c r="J16" s="69"/>
      <c r="K16" s="69"/>
      <c r="L16" s="69"/>
      <c r="M16" s="69"/>
      <c r="N16" s="69"/>
      <c r="O16" s="69"/>
      <c r="P16" s="69"/>
      <c r="Q16" s="108"/>
      <c r="R16" s="107"/>
    </row>
    <row r="17" spans="1:19" s="30" customFormat="1">
      <c r="A17" s="45" t="str">
        <f>IF(F17&lt;&gt;"",1+MAX($A$2:A16),"")</f>
        <v/>
      </c>
      <c r="B17" s="46"/>
      <c r="C17" s="47">
        <v>3</v>
      </c>
      <c r="D17" s="70" t="s">
        <v>59</v>
      </c>
      <c r="E17" s="46"/>
      <c r="F17" s="46"/>
      <c r="G17" s="46"/>
      <c r="H17" s="46"/>
      <c r="I17" s="46"/>
      <c r="J17" s="46"/>
      <c r="K17" s="46"/>
      <c r="L17" s="46"/>
      <c r="M17" s="46"/>
      <c r="N17" s="46"/>
      <c r="O17" s="46"/>
      <c r="P17" s="46"/>
      <c r="Q17" s="109"/>
      <c r="S17" s="110"/>
    </row>
    <row r="18" spans="1:19" s="28" customFormat="1">
      <c r="A18" s="55" t="str">
        <f>IF(F18&lt;&gt;"",1+MAX($A$2:A17),"")</f>
        <v/>
      </c>
      <c r="B18" s="71"/>
      <c r="C18" s="66"/>
      <c r="D18" s="72" t="s">
        <v>60</v>
      </c>
      <c r="E18" s="73"/>
      <c r="F18" s="74"/>
      <c r="G18" s="60"/>
      <c r="H18" s="60"/>
      <c r="I18" s="99"/>
      <c r="J18" s="60"/>
      <c r="K18" s="100"/>
      <c r="L18" s="100"/>
      <c r="M18" s="100"/>
      <c r="N18" s="100"/>
      <c r="O18" s="100"/>
      <c r="P18" s="100"/>
      <c r="Q18" s="111"/>
      <c r="R18" s="105"/>
      <c r="S18" s="105"/>
    </row>
    <row r="19" spans="1:19" s="28" customFormat="1">
      <c r="A19" s="55" t="str">
        <f>IF(F19&lt;&gt;"",1+MAX($A$2:A18),"")</f>
        <v/>
      </c>
      <c r="B19" s="75"/>
      <c r="C19" s="56"/>
      <c r="D19" s="76" t="s">
        <v>61</v>
      </c>
      <c r="E19" s="60"/>
      <c r="F19" s="59"/>
      <c r="G19" s="60"/>
      <c r="H19" s="77"/>
      <c r="I19" s="99"/>
      <c r="J19" s="60"/>
      <c r="K19" s="101"/>
      <c r="L19" s="101"/>
      <c r="M19" s="101"/>
      <c r="N19" s="101"/>
      <c r="O19" s="101"/>
      <c r="P19" s="101"/>
      <c r="Q19" s="111"/>
      <c r="R19" s="105"/>
      <c r="S19" s="105"/>
    </row>
    <row r="20" spans="1:19" s="28" customFormat="1" ht="46.5">
      <c r="A20" s="55">
        <f>IF(F20&lt;&gt;"",1+MAX($A$2:A19),"")</f>
        <v>8</v>
      </c>
      <c r="B20" s="75"/>
      <c r="C20" s="78"/>
      <c r="D20" s="51" t="s">
        <v>62</v>
      </c>
      <c r="E20" s="60">
        <v>143.76954074074101</v>
      </c>
      <c r="F20" s="59">
        <v>0.1</v>
      </c>
      <c r="G20" s="64">
        <f t="shared" ref="G20:G22" si="6">(F20*E20)+E20</f>
        <v>158.14649481481499</v>
      </c>
      <c r="H20" s="58" t="s">
        <v>63</v>
      </c>
      <c r="I20" s="90">
        <v>2.42</v>
      </c>
      <c r="J20" s="91">
        <f t="shared" ref="J20" si="7">+I20*G20</f>
        <v>382.714517451853</v>
      </c>
      <c r="K20" s="92">
        <f>'LABOR SHEET'!C$13</f>
        <v>28</v>
      </c>
      <c r="L20" s="93">
        <f t="shared" ref="L20" si="8">I20*K20</f>
        <v>67.760000000000005</v>
      </c>
      <c r="M20" s="93">
        <f t="shared" ref="M20" si="9">K20*J20</f>
        <v>10716.006488651899</v>
      </c>
      <c r="N20" s="93">
        <v>168.5</v>
      </c>
      <c r="O20" s="93">
        <f t="shared" ref="O20" si="10">N20*G20</f>
        <v>26647.6843762963</v>
      </c>
      <c r="P20" s="93">
        <f t="shared" ref="P20" si="11">(I20*K20)+N20</f>
        <v>236.26</v>
      </c>
      <c r="Q20" s="112">
        <f t="shared" ref="Q20" si="12">P20*G20</f>
        <v>37363.690864948199</v>
      </c>
      <c r="R20" s="105"/>
      <c r="S20" s="105"/>
    </row>
    <row r="21" spans="1:19" s="28" customFormat="1" ht="62">
      <c r="A21" s="55">
        <f>IF(F21&lt;&gt;"",1+MAX($A$2:A20),"")</f>
        <v>9</v>
      </c>
      <c r="B21" s="75"/>
      <c r="C21" s="78"/>
      <c r="D21" s="51" t="s">
        <v>64</v>
      </c>
      <c r="E21" s="60">
        <v>15429.390966000001</v>
      </c>
      <c r="F21" s="59">
        <v>0.05</v>
      </c>
      <c r="G21" s="64">
        <f t="shared" si="6"/>
        <v>16200.8605143</v>
      </c>
      <c r="H21" s="58" t="s">
        <v>65</v>
      </c>
      <c r="I21" s="90">
        <v>1.0999999999999999E-2</v>
      </c>
      <c r="J21" s="91">
        <f t="shared" ref="J21:J24" si="13">+I21*G21</f>
        <v>178.2094656573</v>
      </c>
      <c r="K21" s="92">
        <f>'LABOR SHEET'!C$13</f>
        <v>28</v>
      </c>
      <c r="L21" s="93">
        <f t="shared" ref="L21:L24" si="14">I21*K21</f>
        <v>0.308</v>
      </c>
      <c r="M21" s="93">
        <f t="shared" ref="M21:M24" si="15">K21*J21</f>
        <v>4989.8650384044004</v>
      </c>
      <c r="N21" s="93">
        <v>1</v>
      </c>
      <c r="O21" s="93">
        <f t="shared" ref="O21:O24" si="16">N21*G21</f>
        <v>16200.8605143</v>
      </c>
      <c r="P21" s="93">
        <f t="shared" ref="P21:P24" si="17">(I21*K21)+N21</f>
        <v>1.3080000000000001</v>
      </c>
      <c r="Q21" s="112">
        <f t="shared" ref="Q21:Q24" si="18">P21*G21</f>
        <v>21190.7255527044</v>
      </c>
      <c r="R21" s="105"/>
      <c r="S21" s="105"/>
    </row>
    <row r="22" spans="1:19" s="28" customFormat="1">
      <c r="A22" s="55">
        <f>IF(F22&lt;&gt;"",1+MAX($A$2:A21),"")</f>
        <v>10</v>
      </c>
      <c r="B22" s="75"/>
      <c r="C22" s="78"/>
      <c r="D22" s="51" t="s">
        <v>66</v>
      </c>
      <c r="E22" s="60">
        <v>1940.8887999999999</v>
      </c>
      <c r="F22" s="59">
        <v>0.1</v>
      </c>
      <c r="G22" s="64">
        <f t="shared" si="6"/>
        <v>2134.97768</v>
      </c>
      <c r="H22" s="58" t="s">
        <v>67</v>
      </c>
      <c r="I22" s="90">
        <v>1.7999999999999999E-2</v>
      </c>
      <c r="J22" s="91">
        <f t="shared" si="13"/>
        <v>38.429598239999997</v>
      </c>
      <c r="K22" s="92">
        <f>'LABOR SHEET'!C$13</f>
        <v>28</v>
      </c>
      <c r="L22" s="93">
        <f t="shared" si="14"/>
        <v>0.504</v>
      </c>
      <c r="M22" s="93">
        <f t="shared" si="15"/>
        <v>1076.0287507200001</v>
      </c>
      <c r="N22" s="93">
        <v>3</v>
      </c>
      <c r="O22" s="93">
        <f t="shared" si="16"/>
        <v>6404.9330399999999</v>
      </c>
      <c r="P22" s="93">
        <f t="shared" si="17"/>
        <v>3.504</v>
      </c>
      <c r="Q22" s="112">
        <f t="shared" si="18"/>
        <v>7480.96179072</v>
      </c>
      <c r="R22" s="105"/>
      <c r="S22" s="105"/>
    </row>
    <row r="23" spans="1:19" s="28" customFormat="1">
      <c r="A23" s="55"/>
      <c r="B23" s="75"/>
      <c r="C23" s="78"/>
      <c r="D23" s="51"/>
      <c r="E23" s="60"/>
      <c r="F23" s="59"/>
      <c r="G23" s="60"/>
      <c r="H23" s="58"/>
      <c r="I23" s="90"/>
      <c r="J23" s="91"/>
      <c r="K23" s="92"/>
      <c r="L23" s="93"/>
      <c r="M23" s="93"/>
      <c r="N23" s="93"/>
      <c r="O23" s="93"/>
      <c r="P23" s="93"/>
      <c r="Q23" s="112"/>
      <c r="R23" s="105"/>
      <c r="S23" s="105"/>
    </row>
    <row r="24" spans="1:19" s="28" customFormat="1" ht="46.5">
      <c r="A24" s="55">
        <f>IF(F24&lt;&gt;"",1+MAX($A$2:A22),"")</f>
        <v>11</v>
      </c>
      <c r="B24" s="75"/>
      <c r="C24" s="78"/>
      <c r="D24" s="51" t="s">
        <v>68</v>
      </c>
      <c r="E24" s="60">
        <v>62.295866666666697</v>
      </c>
      <c r="F24" s="59">
        <v>0.1</v>
      </c>
      <c r="G24" s="64">
        <f t="shared" ref="G24:G26" si="19">(F24*E24)+E24</f>
        <v>68.525453333333402</v>
      </c>
      <c r="H24" s="58" t="s">
        <v>63</v>
      </c>
      <c r="I24" s="90">
        <v>2.42</v>
      </c>
      <c r="J24" s="91">
        <f t="shared" si="13"/>
        <v>165.831597066667</v>
      </c>
      <c r="K24" s="92">
        <f>'LABOR SHEET'!C$13</f>
        <v>28</v>
      </c>
      <c r="L24" s="93">
        <f t="shared" si="14"/>
        <v>67.760000000000005</v>
      </c>
      <c r="M24" s="93">
        <f t="shared" si="15"/>
        <v>4643.2847178666698</v>
      </c>
      <c r="N24" s="93">
        <v>168.5</v>
      </c>
      <c r="O24" s="93">
        <f t="shared" si="16"/>
        <v>11546.5388866667</v>
      </c>
      <c r="P24" s="93">
        <f t="shared" si="17"/>
        <v>236.26</v>
      </c>
      <c r="Q24" s="112">
        <f t="shared" si="18"/>
        <v>16189.8236045333</v>
      </c>
      <c r="R24" s="105"/>
      <c r="S24" s="105"/>
    </row>
    <row r="25" spans="1:19" s="28" customFormat="1" ht="62">
      <c r="A25" s="55">
        <f>IF(F25&lt;&gt;"",1+MAX($A$2:A24),"")</f>
        <v>12</v>
      </c>
      <c r="B25" s="75"/>
      <c r="C25" s="78"/>
      <c r="D25" s="51" t="s">
        <v>69</v>
      </c>
      <c r="E25" s="60">
        <v>7446.9544519999999</v>
      </c>
      <c r="F25" s="59">
        <v>0.05</v>
      </c>
      <c r="G25" s="64">
        <f t="shared" si="19"/>
        <v>7819.3021746000004</v>
      </c>
      <c r="H25" s="58" t="s">
        <v>65</v>
      </c>
      <c r="I25" s="90">
        <v>1.0999999999999999E-2</v>
      </c>
      <c r="J25" s="91">
        <f t="shared" ref="J25" si="20">+I25*G25</f>
        <v>86.012323920599997</v>
      </c>
      <c r="K25" s="92">
        <f>'LABOR SHEET'!C$13</f>
        <v>28</v>
      </c>
      <c r="L25" s="93">
        <f t="shared" ref="L25" si="21">I25*K25</f>
        <v>0.308</v>
      </c>
      <c r="M25" s="93">
        <f t="shared" ref="M25" si="22">K25*J25</f>
        <v>2408.3450697767998</v>
      </c>
      <c r="N25" s="93">
        <v>1</v>
      </c>
      <c r="O25" s="93">
        <f t="shared" ref="O25" si="23">N25*G25</f>
        <v>7819.3021746000004</v>
      </c>
      <c r="P25" s="93">
        <f t="shared" ref="P25" si="24">(I25*K25)+N25</f>
        <v>1.3080000000000001</v>
      </c>
      <c r="Q25" s="112">
        <f t="shared" ref="Q25" si="25">P25*G25</f>
        <v>10227.6472443768</v>
      </c>
      <c r="R25" s="105"/>
      <c r="S25" s="105"/>
    </row>
    <row r="26" spans="1:19" s="28" customFormat="1">
      <c r="A26" s="55">
        <f>IF(F26&lt;&gt;"",1+MAX($A$2:A25),"")</f>
        <v>13</v>
      </c>
      <c r="B26" s="75"/>
      <c r="C26" s="78"/>
      <c r="D26" s="51" t="s">
        <v>66</v>
      </c>
      <c r="E26" s="60">
        <v>1121.3255999999999</v>
      </c>
      <c r="F26" s="59">
        <v>0.1</v>
      </c>
      <c r="G26" s="64">
        <f t="shared" si="19"/>
        <v>1233.4581599999999</v>
      </c>
      <c r="H26" s="58" t="s">
        <v>67</v>
      </c>
      <c r="I26" s="90">
        <v>1.7999999999999999E-2</v>
      </c>
      <c r="J26" s="91">
        <f t="shared" ref="J26:J28" si="26">+I26*G26</f>
        <v>22.202246880000001</v>
      </c>
      <c r="K26" s="92">
        <f>'LABOR SHEET'!C$13</f>
        <v>28</v>
      </c>
      <c r="L26" s="93">
        <f t="shared" ref="L26:L28" si="27">I26*K26</f>
        <v>0.504</v>
      </c>
      <c r="M26" s="93">
        <f t="shared" ref="M26:M28" si="28">K26*J26</f>
        <v>621.66291263999994</v>
      </c>
      <c r="N26" s="93">
        <v>3</v>
      </c>
      <c r="O26" s="93">
        <f t="shared" ref="O26:O28" si="29">N26*G26</f>
        <v>3700.3744799999999</v>
      </c>
      <c r="P26" s="93">
        <f t="shared" ref="P26:P28" si="30">(I26*K26)+N26</f>
        <v>3.504</v>
      </c>
      <c r="Q26" s="112">
        <f t="shared" ref="Q26:Q28" si="31">P26*G26</f>
        <v>4322.0373926399998</v>
      </c>
      <c r="R26" s="105"/>
      <c r="S26" s="105"/>
    </row>
    <row r="27" spans="1:19" s="28" customFormat="1">
      <c r="A27" s="55"/>
      <c r="B27" s="75"/>
      <c r="C27" s="78"/>
      <c r="D27" s="51"/>
      <c r="E27" s="60"/>
      <c r="F27" s="59"/>
      <c r="G27" s="60"/>
      <c r="H27" s="58"/>
      <c r="I27" s="90"/>
      <c r="J27" s="91"/>
      <c r="K27" s="92"/>
      <c r="L27" s="93"/>
      <c r="M27" s="93"/>
      <c r="N27" s="93"/>
      <c r="O27" s="93"/>
      <c r="P27" s="93"/>
      <c r="Q27" s="112"/>
      <c r="R27" s="105"/>
      <c r="S27" s="105"/>
    </row>
    <row r="28" spans="1:19" s="28" customFormat="1" ht="46.5">
      <c r="A28" s="55">
        <f>IF(F28&lt;&gt;"",1+MAX($A$2:A26),"")</f>
        <v>14</v>
      </c>
      <c r="B28" s="75"/>
      <c r="C28" s="78"/>
      <c r="D28" s="51" t="s">
        <v>70</v>
      </c>
      <c r="E28" s="60">
        <v>15.9268</v>
      </c>
      <c r="F28" s="59">
        <v>0.1</v>
      </c>
      <c r="G28" s="64">
        <f t="shared" ref="G28:G30" si="32">(F28*E28)+E28</f>
        <v>17.519480000000001</v>
      </c>
      <c r="H28" s="58" t="s">
        <v>63</v>
      </c>
      <c r="I28" s="90">
        <v>2.42</v>
      </c>
      <c r="J28" s="91">
        <f t="shared" si="26"/>
        <v>42.397141599999998</v>
      </c>
      <c r="K28" s="92">
        <f>'LABOR SHEET'!C$13</f>
        <v>28</v>
      </c>
      <c r="L28" s="93">
        <f t="shared" si="27"/>
        <v>67.760000000000005</v>
      </c>
      <c r="M28" s="93">
        <f t="shared" si="28"/>
        <v>1187.1199647999999</v>
      </c>
      <c r="N28" s="93">
        <v>168.5</v>
      </c>
      <c r="O28" s="93">
        <f t="shared" si="29"/>
        <v>2952.0323800000001</v>
      </c>
      <c r="P28" s="93">
        <f t="shared" si="30"/>
        <v>236.26</v>
      </c>
      <c r="Q28" s="112">
        <f t="shared" si="31"/>
        <v>4139.1523447999998</v>
      </c>
      <c r="R28" s="105"/>
      <c r="S28" s="105"/>
    </row>
    <row r="29" spans="1:19" s="28" customFormat="1" ht="46.5">
      <c r="A29" s="55">
        <f>IF(F29&lt;&gt;"",1+MAX($A$2:A28),"")</f>
        <v>15</v>
      </c>
      <c r="B29" s="75"/>
      <c r="C29" s="78"/>
      <c r="D29" s="51" t="s">
        <v>71</v>
      </c>
      <c r="E29" s="60">
        <v>1581.974422</v>
      </c>
      <c r="F29" s="59">
        <v>0.05</v>
      </c>
      <c r="G29" s="64">
        <f t="shared" si="32"/>
        <v>1661.0731430999999</v>
      </c>
      <c r="H29" s="58" t="s">
        <v>65</v>
      </c>
      <c r="I29" s="90">
        <v>1.0999999999999999E-2</v>
      </c>
      <c r="J29" s="91">
        <f t="shared" ref="J29" si="33">+I29*G29</f>
        <v>18.271804574099999</v>
      </c>
      <c r="K29" s="92">
        <f>'LABOR SHEET'!C$13</f>
        <v>28</v>
      </c>
      <c r="L29" s="93">
        <f t="shared" ref="L29" si="34">I29*K29</f>
        <v>0.308</v>
      </c>
      <c r="M29" s="93">
        <f t="shared" ref="M29" si="35">K29*J29</f>
        <v>511.61052807480002</v>
      </c>
      <c r="N29" s="93">
        <v>1</v>
      </c>
      <c r="O29" s="93">
        <f t="shared" ref="O29" si="36">N29*G29</f>
        <v>1661.0731430999999</v>
      </c>
      <c r="P29" s="93">
        <f t="shared" ref="P29" si="37">(I29*K29)+N29</f>
        <v>1.3080000000000001</v>
      </c>
      <c r="Q29" s="112">
        <f t="shared" ref="Q29" si="38">P29*G29</f>
        <v>2172.6836711748001</v>
      </c>
      <c r="R29" s="105"/>
      <c r="S29" s="105"/>
    </row>
    <row r="30" spans="1:19" s="28" customFormat="1">
      <c r="A30" s="55">
        <f>IF(F30&lt;&gt;"",1+MAX($A$2:A29),"")</f>
        <v>16</v>
      </c>
      <c r="B30" s="75"/>
      <c r="C30" s="78"/>
      <c r="D30" s="51" t="s">
        <v>66</v>
      </c>
      <c r="E30" s="60">
        <v>286.68239999999997</v>
      </c>
      <c r="F30" s="59">
        <v>0.1</v>
      </c>
      <c r="G30" s="64">
        <f t="shared" si="32"/>
        <v>315.35064</v>
      </c>
      <c r="H30" s="58" t="s">
        <v>67</v>
      </c>
      <c r="I30" s="90">
        <v>1.7999999999999999E-2</v>
      </c>
      <c r="J30" s="91">
        <f t="shared" ref="J30:J32" si="39">+I30*G30</f>
        <v>5.6763115199999996</v>
      </c>
      <c r="K30" s="92">
        <f>'LABOR SHEET'!C$13</f>
        <v>28</v>
      </c>
      <c r="L30" s="93">
        <f t="shared" ref="L30:L32" si="40">I30*K30</f>
        <v>0.504</v>
      </c>
      <c r="M30" s="93">
        <f t="shared" ref="M30:M32" si="41">K30*J30</f>
        <v>158.93672255999999</v>
      </c>
      <c r="N30" s="93">
        <v>3</v>
      </c>
      <c r="O30" s="93">
        <f t="shared" ref="O30:O32" si="42">N30*G30</f>
        <v>946.05192</v>
      </c>
      <c r="P30" s="93">
        <f t="shared" ref="P30:P32" si="43">(I30*K30)+N30</f>
        <v>3.504</v>
      </c>
      <c r="Q30" s="112">
        <f t="shared" ref="Q30:Q32" si="44">P30*G30</f>
        <v>1104.98864256</v>
      </c>
      <c r="R30" s="105"/>
      <c r="S30" s="105"/>
    </row>
    <row r="31" spans="1:19" s="28" customFormat="1">
      <c r="A31" s="55"/>
      <c r="B31" s="75"/>
      <c r="C31" s="78"/>
      <c r="D31" s="51"/>
      <c r="E31" s="60"/>
      <c r="F31" s="59"/>
      <c r="G31" s="60"/>
      <c r="H31" s="58"/>
      <c r="I31" s="90"/>
      <c r="J31" s="91"/>
      <c r="K31" s="92"/>
      <c r="L31" s="93"/>
      <c r="M31" s="93"/>
      <c r="N31" s="93"/>
      <c r="O31" s="93"/>
      <c r="P31" s="93"/>
      <c r="Q31" s="112"/>
      <c r="R31" s="105"/>
      <c r="S31" s="105"/>
    </row>
    <row r="32" spans="1:19" s="28" customFormat="1" ht="62">
      <c r="A32" s="55">
        <f>IF(F32&lt;&gt;"",1+MAX($A$2:A30),"")</f>
        <v>17</v>
      </c>
      <c r="B32" s="75"/>
      <c r="C32" s="78"/>
      <c r="D32" s="51" t="s">
        <v>72</v>
      </c>
      <c r="E32" s="60">
        <v>25.763999999999999</v>
      </c>
      <c r="F32" s="59">
        <v>0.1</v>
      </c>
      <c r="G32" s="64">
        <f t="shared" ref="G32:G34" si="45">(F32*E32)+E32</f>
        <v>28.340399999999999</v>
      </c>
      <c r="H32" s="58" t="s">
        <v>63</v>
      </c>
      <c r="I32" s="90">
        <v>2.6</v>
      </c>
      <c r="J32" s="91">
        <f t="shared" si="39"/>
        <v>73.685040000000001</v>
      </c>
      <c r="K32" s="92">
        <f>'LABOR SHEET'!C$13</f>
        <v>28</v>
      </c>
      <c r="L32" s="93">
        <f t="shared" si="40"/>
        <v>72.8</v>
      </c>
      <c r="M32" s="93">
        <f t="shared" si="41"/>
        <v>2063.1811200000002</v>
      </c>
      <c r="N32" s="93">
        <v>168.5</v>
      </c>
      <c r="O32" s="93">
        <f t="shared" si="42"/>
        <v>4775.3573999999999</v>
      </c>
      <c r="P32" s="93">
        <f t="shared" si="43"/>
        <v>241.3</v>
      </c>
      <c r="Q32" s="112">
        <f t="shared" si="44"/>
        <v>6838.5385200000001</v>
      </c>
      <c r="R32" s="105"/>
      <c r="S32" s="105"/>
    </row>
    <row r="33" spans="1:19" s="28" customFormat="1" ht="62">
      <c r="A33" s="55">
        <f>IF(F33&lt;&gt;"",1+MAX($A$2:A32),"")</f>
        <v>18</v>
      </c>
      <c r="B33" s="75"/>
      <c r="C33" s="78"/>
      <c r="D33" s="51" t="s">
        <v>73</v>
      </c>
      <c r="E33" s="60">
        <v>7399.4897119999996</v>
      </c>
      <c r="F33" s="59">
        <v>0.05</v>
      </c>
      <c r="G33" s="64">
        <f t="shared" si="45"/>
        <v>7769.4641976000003</v>
      </c>
      <c r="H33" s="58" t="s">
        <v>65</v>
      </c>
      <c r="I33" s="90">
        <v>1.0999999999999999E-2</v>
      </c>
      <c r="J33" s="91">
        <f t="shared" ref="J33" si="46">+I33*G33</f>
        <v>85.464106173600001</v>
      </c>
      <c r="K33" s="92">
        <f>'LABOR SHEET'!C$13</f>
        <v>28</v>
      </c>
      <c r="L33" s="93">
        <f t="shared" ref="L33" si="47">I33*K33</f>
        <v>0.308</v>
      </c>
      <c r="M33" s="93">
        <f t="shared" ref="M33" si="48">K33*J33</f>
        <v>2392.9949728607999</v>
      </c>
      <c r="N33" s="93">
        <v>1</v>
      </c>
      <c r="O33" s="93">
        <f t="shared" ref="O33" si="49">N33*G33</f>
        <v>7769.4641976000003</v>
      </c>
      <c r="P33" s="93">
        <f t="shared" ref="P33" si="50">(I33*K33)+N33</f>
        <v>1.3080000000000001</v>
      </c>
      <c r="Q33" s="112">
        <f t="shared" ref="Q33" si="51">P33*G33</f>
        <v>10162.459170460799</v>
      </c>
      <c r="R33" s="105"/>
      <c r="S33" s="105"/>
    </row>
    <row r="34" spans="1:19" s="28" customFormat="1">
      <c r="A34" s="55">
        <f>IF(F34&lt;&gt;"",1+MAX($A$2:A33),"")</f>
        <v>19</v>
      </c>
      <c r="B34" s="75"/>
      <c r="C34" s="78"/>
      <c r="D34" s="51" t="s">
        <v>66</v>
      </c>
      <c r="E34" s="60">
        <v>498.10399999999998</v>
      </c>
      <c r="F34" s="59">
        <v>0.1</v>
      </c>
      <c r="G34" s="64">
        <f t="shared" si="45"/>
        <v>547.9144</v>
      </c>
      <c r="H34" s="58" t="s">
        <v>67</v>
      </c>
      <c r="I34" s="90">
        <v>1.7999999999999999E-2</v>
      </c>
      <c r="J34" s="91">
        <f t="shared" ref="J34" si="52">+I34*G34</f>
        <v>9.8624592</v>
      </c>
      <c r="K34" s="92">
        <f>'LABOR SHEET'!C$13</f>
        <v>28</v>
      </c>
      <c r="L34" s="93">
        <f t="shared" ref="L34" si="53">I34*K34</f>
        <v>0.504</v>
      </c>
      <c r="M34" s="93">
        <f t="shared" ref="M34" si="54">K34*J34</f>
        <v>276.14885759999999</v>
      </c>
      <c r="N34" s="93">
        <v>3</v>
      </c>
      <c r="O34" s="93">
        <f t="shared" ref="O34" si="55">N34*G34</f>
        <v>1643.7431999999999</v>
      </c>
      <c r="P34" s="93">
        <f t="shared" ref="P34" si="56">(I34*K34)+N34</f>
        <v>3.504</v>
      </c>
      <c r="Q34" s="112">
        <f t="shared" ref="Q34" si="57">P34*G34</f>
        <v>1919.8920576</v>
      </c>
      <c r="R34" s="105"/>
      <c r="S34" s="105"/>
    </row>
    <row r="35" spans="1:19" s="28" customFormat="1">
      <c r="A35" s="55" t="str">
        <f>IF(F35&lt;&gt;"",1+MAX($A$2:A34),"")</f>
        <v/>
      </c>
      <c r="B35" s="75"/>
      <c r="C35" s="78"/>
      <c r="D35" s="79"/>
      <c r="E35" s="60"/>
      <c r="F35" s="59"/>
      <c r="G35" s="60"/>
      <c r="H35" s="80"/>
      <c r="I35" s="90"/>
      <c r="J35" s="91"/>
      <c r="K35" s="92"/>
      <c r="L35" s="93"/>
      <c r="M35" s="93"/>
      <c r="N35" s="93"/>
      <c r="O35" s="93"/>
      <c r="P35" s="93"/>
      <c r="Q35" s="111"/>
      <c r="R35" s="105"/>
      <c r="S35" s="105"/>
    </row>
    <row r="36" spans="1:19" s="28" customFormat="1">
      <c r="A36" s="55" t="str">
        <f>IF(F36&lt;&gt;"",1+MAX($A$2:A35),"")</f>
        <v/>
      </c>
      <c r="B36" s="71"/>
      <c r="C36" s="66"/>
      <c r="D36" s="72" t="s">
        <v>74</v>
      </c>
      <c r="E36" s="60"/>
      <c r="F36" s="60"/>
      <c r="G36" s="60"/>
      <c r="H36" s="58"/>
      <c r="I36" s="99"/>
      <c r="J36" s="60"/>
      <c r="K36" s="100"/>
      <c r="L36" s="100"/>
      <c r="M36" s="100"/>
      <c r="N36" s="100"/>
      <c r="O36" s="100"/>
      <c r="P36" s="100"/>
      <c r="Q36" s="111"/>
      <c r="R36" s="105"/>
      <c r="S36" s="105"/>
    </row>
    <row r="37" spans="1:19" s="28" customFormat="1">
      <c r="A37" s="55">
        <f>IF(F37&lt;&gt;"",1+MAX($A$2:A36),"")</f>
        <v>20</v>
      </c>
      <c r="B37" s="75"/>
      <c r="C37" s="78"/>
      <c r="D37" s="81" t="s">
        <v>75</v>
      </c>
      <c r="E37" s="60">
        <v>8.7509444444444409</v>
      </c>
      <c r="F37" s="59">
        <v>0.1</v>
      </c>
      <c r="G37" s="64">
        <f t="shared" ref="G37:G39" si="58">(F37*E37)+E37</f>
        <v>9.6260388888888908</v>
      </c>
      <c r="H37" s="58" t="s">
        <v>63</v>
      </c>
      <c r="I37" s="90">
        <v>2.9</v>
      </c>
      <c r="J37" s="91">
        <f t="shared" ref="J37" si="59">+I37*G37</f>
        <v>27.915512777777799</v>
      </c>
      <c r="K37" s="92">
        <f>'LABOR SHEET'!C$13</f>
        <v>28</v>
      </c>
      <c r="L37" s="93">
        <f t="shared" ref="L37" si="60">I37*K37</f>
        <v>81.2</v>
      </c>
      <c r="M37" s="93">
        <f t="shared" ref="M37" si="61">K37*J37</f>
        <v>781.63435777777704</v>
      </c>
      <c r="N37" s="93">
        <v>168.5</v>
      </c>
      <c r="O37" s="93">
        <f t="shared" ref="O37" si="62">N37*G37</f>
        <v>1621.9875527777799</v>
      </c>
      <c r="P37" s="93">
        <f t="shared" ref="P37" si="63">(I37*K37)+N37</f>
        <v>249.7</v>
      </c>
      <c r="Q37" s="112">
        <f t="shared" ref="Q37" si="64">P37*G37</f>
        <v>2403.6219105555501</v>
      </c>
      <c r="R37" s="105"/>
      <c r="S37" s="105"/>
    </row>
    <row r="38" spans="1:19" s="28" customFormat="1" ht="31">
      <c r="A38" s="55">
        <f>IF(F38&lt;&gt;"",1+MAX($A$2:A37),"")</f>
        <v>21</v>
      </c>
      <c r="B38" s="75"/>
      <c r="C38" s="78"/>
      <c r="D38" s="81" t="s">
        <v>76</v>
      </c>
      <c r="E38" s="60">
        <v>276.55184210526301</v>
      </c>
      <c r="F38" s="59">
        <v>0.05</v>
      </c>
      <c r="G38" s="64">
        <f t="shared" si="58"/>
        <v>290.37943421052597</v>
      </c>
      <c r="H38" s="58" t="s">
        <v>65</v>
      </c>
      <c r="I38" s="90">
        <v>1.0999999999999999E-2</v>
      </c>
      <c r="J38" s="91">
        <f t="shared" ref="J38:J39" si="65">+I38*G38</f>
        <v>3.19417377631579</v>
      </c>
      <c r="K38" s="92">
        <f>'LABOR SHEET'!C$13</f>
        <v>28</v>
      </c>
      <c r="L38" s="93">
        <f t="shared" ref="L38:L39" si="66">I38*K38</f>
        <v>0.308</v>
      </c>
      <c r="M38" s="93">
        <f t="shared" ref="M38:M39" si="67">K38*J38</f>
        <v>89.436865736842094</v>
      </c>
      <c r="N38" s="93">
        <v>1</v>
      </c>
      <c r="O38" s="93">
        <f t="shared" ref="O38:O39" si="68">N38*G38</f>
        <v>290.37943421052597</v>
      </c>
      <c r="P38" s="93">
        <f t="shared" ref="P38:P39" si="69">(I38*K38)+N38</f>
        <v>1.3080000000000001</v>
      </c>
      <c r="Q38" s="112">
        <f t="shared" ref="Q38:Q39" si="70">P38*G38</f>
        <v>379.81629994736801</v>
      </c>
      <c r="R38" s="105"/>
      <c r="S38" s="105"/>
    </row>
    <row r="39" spans="1:19" s="28" customFormat="1">
      <c r="A39" s="55">
        <f>IF(F39&lt;&gt;"",1+MAX($A$2:A38),"")</f>
        <v>22</v>
      </c>
      <c r="B39" s="75"/>
      <c r="C39" s="78"/>
      <c r="D39" s="81" t="s">
        <v>66</v>
      </c>
      <c r="E39" s="60">
        <v>708</v>
      </c>
      <c r="F39" s="59">
        <v>0.1</v>
      </c>
      <c r="G39" s="64">
        <f t="shared" si="58"/>
        <v>778.8</v>
      </c>
      <c r="H39" s="58" t="s">
        <v>67</v>
      </c>
      <c r="I39" s="90">
        <v>1.7999999999999999E-2</v>
      </c>
      <c r="J39" s="91">
        <f t="shared" si="65"/>
        <v>14.0184</v>
      </c>
      <c r="K39" s="92">
        <f>'LABOR SHEET'!C$13</f>
        <v>28</v>
      </c>
      <c r="L39" s="93">
        <f t="shared" si="66"/>
        <v>0.504</v>
      </c>
      <c r="M39" s="93">
        <f t="shared" si="67"/>
        <v>392.51519999999999</v>
      </c>
      <c r="N39" s="93">
        <v>3</v>
      </c>
      <c r="O39" s="93">
        <f t="shared" si="68"/>
        <v>2336.4</v>
      </c>
      <c r="P39" s="93">
        <f t="shared" si="69"/>
        <v>3.504</v>
      </c>
      <c r="Q39" s="112">
        <f t="shared" si="70"/>
        <v>2728.9151999999999</v>
      </c>
      <c r="R39" s="105"/>
      <c r="S39" s="105"/>
    </row>
    <row r="40" spans="1:19" s="28" customFormat="1">
      <c r="A40" s="55" t="str">
        <f>IF(F40&lt;&gt;"",1+MAX($A$2:A39),"")</f>
        <v/>
      </c>
      <c r="B40" s="75"/>
      <c r="C40" s="78"/>
      <c r="D40" s="51"/>
      <c r="E40" s="60"/>
      <c r="F40" s="59"/>
      <c r="G40" s="60"/>
      <c r="H40" s="58"/>
      <c r="I40" s="90"/>
      <c r="J40" s="91"/>
      <c r="K40" s="92"/>
      <c r="L40" s="93"/>
      <c r="M40" s="93"/>
      <c r="N40" s="93"/>
      <c r="O40" s="93"/>
      <c r="P40" s="93"/>
      <c r="Q40" s="112"/>
      <c r="R40" s="105"/>
      <c r="S40" s="105"/>
    </row>
    <row r="41" spans="1:19" s="28" customFormat="1">
      <c r="A41" s="55" t="str">
        <f>IF(F41&lt;&gt;"",1+MAX($A$2:A40),"")</f>
        <v/>
      </c>
      <c r="B41" s="71"/>
      <c r="C41" s="66"/>
      <c r="D41" s="72" t="s">
        <v>77</v>
      </c>
      <c r="E41" s="73"/>
      <c r="F41" s="82"/>
      <c r="G41" s="60"/>
      <c r="H41" s="58"/>
      <c r="I41" s="99"/>
      <c r="J41" s="60"/>
      <c r="K41" s="100"/>
      <c r="L41" s="100"/>
      <c r="M41" s="100"/>
      <c r="N41" s="100"/>
      <c r="O41" s="100"/>
      <c r="P41" s="100"/>
      <c r="Q41" s="111"/>
      <c r="R41" s="105"/>
      <c r="S41" s="105"/>
    </row>
    <row r="42" spans="1:19" s="28" customFormat="1">
      <c r="A42" s="55">
        <f>IF(F42&lt;&gt;"",1+MAX($A$2:A41),"")</f>
        <v>23</v>
      </c>
      <c r="B42" s="75"/>
      <c r="C42" s="78"/>
      <c r="D42" s="51" t="s">
        <v>78</v>
      </c>
      <c r="E42" s="60">
        <v>129.60994444444401</v>
      </c>
      <c r="F42" s="59">
        <v>0.1</v>
      </c>
      <c r="G42" s="64">
        <f t="shared" ref="G42" si="71">(F42*E42)+E42</f>
        <v>142.57093888888801</v>
      </c>
      <c r="H42" s="58" t="s">
        <v>63</v>
      </c>
      <c r="I42" s="90">
        <v>2.21</v>
      </c>
      <c r="J42" s="91">
        <f t="shared" ref="J42" si="72">+I42*G42</f>
        <v>315.081774944443</v>
      </c>
      <c r="K42" s="92">
        <f>'LABOR SHEET'!C$13</f>
        <v>28</v>
      </c>
      <c r="L42" s="93">
        <f t="shared" ref="L42" si="73">I42*K42</f>
        <v>61.88</v>
      </c>
      <c r="M42" s="93">
        <f t="shared" ref="M42" si="74">K42*J42</f>
        <v>8822.2896984444196</v>
      </c>
      <c r="N42" s="93">
        <v>177</v>
      </c>
      <c r="O42" s="93">
        <f t="shared" ref="O42" si="75">N42*G42</f>
        <v>25235.056183333199</v>
      </c>
      <c r="P42" s="93">
        <f t="shared" ref="P42" si="76">(I42*K42)+N42</f>
        <v>238.88</v>
      </c>
      <c r="Q42" s="112">
        <f t="shared" ref="Q42" si="77">P42*G42</f>
        <v>34057.345881777699</v>
      </c>
      <c r="R42" s="105"/>
      <c r="S42" s="105"/>
    </row>
    <row r="43" spans="1:19" s="28" customFormat="1">
      <c r="A43" s="55">
        <f>IF(F43&lt;&gt;"",1+MAX($A$2:A42),"")</f>
        <v>24</v>
      </c>
      <c r="B43" s="75"/>
      <c r="C43" s="78"/>
      <c r="D43" s="51" t="s">
        <v>79</v>
      </c>
      <c r="E43" s="60">
        <v>10604.45</v>
      </c>
      <c r="F43" s="59">
        <v>0.1</v>
      </c>
      <c r="G43" s="64">
        <f t="shared" ref="G43:G44" si="78">(F43*E43)+E43</f>
        <v>11664.895</v>
      </c>
      <c r="H43" s="58" t="s">
        <v>67</v>
      </c>
      <c r="I43" s="90">
        <v>0.01</v>
      </c>
      <c r="J43" s="91">
        <f t="shared" ref="J43:J44" si="79">+I43*G43</f>
        <v>116.64895</v>
      </c>
      <c r="K43" s="92">
        <f>'LABOR SHEET'!C$13</f>
        <v>28</v>
      </c>
      <c r="L43" s="93">
        <f t="shared" ref="L43:L44" si="80">I43*K43</f>
        <v>0.28000000000000003</v>
      </c>
      <c r="M43" s="93">
        <f t="shared" ref="M43:M44" si="81">K43*J43</f>
        <v>3266.1705999999999</v>
      </c>
      <c r="N43" s="93">
        <v>0.55000000000000004</v>
      </c>
      <c r="O43" s="93">
        <f t="shared" ref="O43:O44" si="82">N43*G43</f>
        <v>6415.6922500000001</v>
      </c>
      <c r="P43" s="93">
        <f t="shared" ref="P43:P44" si="83">(I43*K43)+N43</f>
        <v>0.83</v>
      </c>
      <c r="Q43" s="112">
        <f t="shared" ref="Q43:Q44" si="84">P43*G43</f>
        <v>9681.8628499999995</v>
      </c>
      <c r="R43" s="105"/>
      <c r="S43" s="105"/>
    </row>
    <row r="44" spans="1:19" s="28" customFormat="1">
      <c r="A44" s="55">
        <f>IF(F44&lt;&gt;"",1+MAX($A$2:A43),"")</f>
        <v>25</v>
      </c>
      <c r="B44" s="75"/>
      <c r="C44" s="78"/>
      <c r="D44" s="51" t="s">
        <v>80</v>
      </c>
      <c r="E44" s="60">
        <v>935.33040000000005</v>
      </c>
      <c r="F44" s="59">
        <v>0.1</v>
      </c>
      <c r="G44" s="64">
        <f t="shared" si="78"/>
        <v>1028.8634400000001</v>
      </c>
      <c r="H44" s="58" t="s">
        <v>63</v>
      </c>
      <c r="I44" s="90">
        <v>0.65</v>
      </c>
      <c r="J44" s="91">
        <f t="shared" si="79"/>
        <v>668.76123600000005</v>
      </c>
      <c r="K44" s="92">
        <f>'LABOR SHEET'!C$13</f>
        <v>28</v>
      </c>
      <c r="L44" s="93">
        <f t="shared" si="80"/>
        <v>18.2</v>
      </c>
      <c r="M44" s="93">
        <f t="shared" si="81"/>
        <v>18725.314608000001</v>
      </c>
      <c r="N44" s="93">
        <v>65</v>
      </c>
      <c r="O44" s="93">
        <f t="shared" si="82"/>
        <v>66876.123600000006</v>
      </c>
      <c r="P44" s="93">
        <f t="shared" si="83"/>
        <v>83.2</v>
      </c>
      <c r="Q44" s="112">
        <f t="shared" si="84"/>
        <v>85601.438208000007</v>
      </c>
      <c r="R44" s="105"/>
      <c r="S44" s="105"/>
    </row>
    <row r="45" spans="1:19" s="28" customFormat="1">
      <c r="A45" s="55" t="str">
        <f>IF(F45&lt;&gt;"",1+MAX($A$2:A44),"")</f>
        <v/>
      </c>
      <c r="B45" s="75"/>
      <c r="C45" s="78"/>
      <c r="D45" s="51"/>
      <c r="E45" s="60"/>
      <c r="F45" s="59"/>
      <c r="G45" s="60"/>
      <c r="H45" s="58"/>
      <c r="I45" s="90"/>
      <c r="J45" s="91"/>
      <c r="K45" s="92"/>
      <c r="L45" s="93"/>
      <c r="M45" s="93"/>
      <c r="N45" s="93"/>
      <c r="O45" s="93"/>
      <c r="P45" s="93"/>
      <c r="Q45" s="112"/>
      <c r="R45" s="105"/>
      <c r="S45" s="105"/>
    </row>
    <row r="46" spans="1:19" s="28" customFormat="1">
      <c r="A46" s="55">
        <f>IF(F46&lt;&gt;"",1+MAX($A$2:A45),"")</f>
        <v>26</v>
      </c>
      <c r="B46" s="75"/>
      <c r="C46" s="78"/>
      <c r="D46" s="51" t="s">
        <v>81</v>
      </c>
      <c r="E46" s="60">
        <v>2.8634666666666702</v>
      </c>
      <c r="F46" s="59">
        <v>0.1</v>
      </c>
      <c r="G46" s="64">
        <f t="shared" ref="G46:G48" si="85">(F46*E46)+E46</f>
        <v>3.14981333333334</v>
      </c>
      <c r="H46" s="58" t="s">
        <v>63</v>
      </c>
      <c r="I46" s="90">
        <v>2.21</v>
      </c>
      <c r="J46" s="91">
        <f t="shared" ref="J46" si="86">+I46*G46</f>
        <v>6.9610874666666804</v>
      </c>
      <c r="K46" s="92">
        <f>'LABOR SHEET'!C$13</f>
        <v>28</v>
      </c>
      <c r="L46" s="93">
        <f t="shared" ref="L46" si="87">I46*K46</f>
        <v>61.88</v>
      </c>
      <c r="M46" s="93">
        <f t="shared" ref="M46" si="88">K46*J46</f>
        <v>194.91044906666701</v>
      </c>
      <c r="N46" s="93">
        <v>186</v>
      </c>
      <c r="O46" s="93">
        <f t="shared" ref="O46" si="89">N46*G46</f>
        <v>585.86528000000101</v>
      </c>
      <c r="P46" s="93">
        <f t="shared" ref="P46" si="90">(I46*K46)+N46</f>
        <v>247.88</v>
      </c>
      <c r="Q46" s="112">
        <f t="shared" ref="Q46" si="91">P46*G46</f>
        <v>780.77572906666796</v>
      </c>
      <c r="R46" s="105"/>
      <c r="S46" s="105"/>
    </row>
    <row r="47" spans="1:19" s="28" customFormat="1" ht="31">
      <c r="A47" s="55">
        <f>IF(F47&lt;&gt;"",1+MAX($A$2:A46),"")</f>
        <v>27</v>
      </c>
      <c r="B47" s="75"/>
      <c r="C47" s="78"/>
      <c r="D47" s="51" t="s">
        <v>82</v>
      </c>
      <c r="E47" s="60">
        <v>39.811309999999999</v>
      </c>
      <c r="F47" s="59">
        <v>0.05</v>
      </c>
      <c r="G47" s="64">
        <f t="shared" si="85"/>
        <v>41.801875500000001</v>
      </c>
      <c r="H47" s="58" t="s">
        <v>65</v>
      </c>
      <c r="I47" s="90">
        <v>1.0999999999999999E-2</v>
      </c>
      <c r="J47" s="91">
        <f t="shared" ref="J47:J48" si="92">+I47*G47</f>
        <v>0.45982063049999999</v>
      </c>
      <c r="K47" s="92">
        <f>'LABOR SHEET'!C$13</f>
        <v>28</v>
      </c>
      <c r="L47" s="93">
        <f t="shared" ref="L47:L48" si="93">I47*K47</f>
        <v>0.308</v>
      </c>
      <c r="M47" s="93">
        <f t="shared" ref="M47:M48" si="94">K47*J47</f>
        <v>12.874977654</v>
      </c>
      <c r="N47" s="93">
        <v>1</v>
      </c>
      <c r="O47" s="93">
        <f t="shared" ref="O47:O48" si="95">N47*G47</f>
        <v>41.801875500000001</v>
      </c>
      <c r="P47" s="93">
        <f t="shared" ref="P47:P48" si="96">(I47*K47)+N47</f>
        <v>1.3080000000000001</v>
      </c>
      <c r="Q47" s="112">
        <f t="shared" ref="Q47:Q48" si="97">P47*G47</f>
        <v>54.676853154</v>
      </c>
      <c r="R47" s="105"/>
      <c r="S47" s="105"/>
    </row>
    <row r="48" spans="1:19" s="28" customFormat="1">
      <c r="A48" s="55">
        <f>IF(F48&lt;&gt;"",1+MAX($A$2:A47),"")</f>
        <v>28</v>
      </c>
      <c r="B48" s="75"/>
      <c r="C48" s="78"/>
      <c r="D48" s="51" t="s">
        <v>66</v>
      </c>
      <c r="E48" s="60">
        <v>86.67</v>
      </c>
      <c r="F48" s="59">
        <v>0.1</v>
      </c>
      <c r="G48" s="64">
        <f t="shared" si="85"/>
        <v>95.337000000000003</v>
      </c>
      <c r="H48" s="58" t="s">
        <v>67</v>
      </c>
      <c r="I48" s="90">
        <v>1.7999999999999999E-2</v>
      </c>
      <c r="J48" s="91">
        <f t="shared" si="92"/>
        <v>1.7160660000000001</v>
      </c>
      <c r="K48" s="92">
        <f>'LABOR SHEET'!C$13</f>
        <v>28</v>
      </c>
      <c r="L48" s="93">
        <f t="shared" si="93"/>
        <v>0.504</v>
      </c>
      <c r="M48" s="93">
        <f t="shared" si="94"/>
        <v>48.049847999999997</v>
      </c>
      <c r="N48" s="93">
        <v>3</v>
      </c>
      <c r="O48" s="93">
        <f t="shared" si="95"/>
        <v>286.01100000000002</v>
      </c>
      <c r="P48" s="93">
        <f t="shared" si="96"/>
        <v>3.504</v>
      </c>
      <c r="Q48" s="112">
        <f t="shared" si="97"/>
        <v>334.06084800000002</v>
      </c>
      <c r="R48" s="105"/>
      <c r="S48" s="105"/>
    </row>
    <row r="49" spans="1:19" s="28" customFormat="1">
      <c r="A49" s="55" t="str">
        <f>IF(F49&lt;&gt;"",1+MAX($A$2:A48),"")</f>
        <v/>
      </c>
      <c r="B49" s="75"/>
      <c r="C49" s="78"/>
      <c r="D49" s="51"/>
      <c r="E49" s="60"/>
      <c r="F49" s="59"/>
      <c r="G49" s="60"/>
      <c r="H49" s="58"/>
      <c r="I49" s="90"/>
      <c r="J49" s="91"/>
      <c r="K49" s="92"/>
      <c r="L49" s="93"/>
      <c r="M49" s="93"/>
      <c r="N49" s="93"/>
      <c r="O49" s="93"/>
      <c r="P49" s="93"/>
      <c r="Q49" s="112"/>
      <c r="R49" s="105"/>
      <c r="S49" s="105"/>
    </row>
    <row r="50" spans="1:19" s="28" customFormat="1">
      <c r="A50" s="55">
        <f>IF(F50&lt;&gt;"",1+MAX($A$2:A49),"")</f>
        <v>29</v>
      </c>
      <c r="B50" s="75"/>
      <c r="C50" s="78"/>
      <c r="D50" s="51" t="s">
        <v>83</v>
      </c>
      <c r="E50" s="60">
        <v>62.848481479999997</v>
      </c>
      <c r="F50" s="59">
        <v>0.1</v>
      </c>
      <c r="G50" s="64">
        <f t="shared" ref="G50:G51" si="98">(F50*E50)+E50</f>
        <v>69.133329627999998</v>
      </c>
      <c r="H50" s="58" t="s">
        <v>63</v>
      </c>
      <c r="I50" s="90">
        <v>2.21</v>
      </c>
      <c r="J50" s="91">
        <f t="shared" ref="J50" si="99">+I50*G50</f>
        <v>152.78465847787999</v>
      </c>
      <c r="K50" s="92">
        <f>'LABOR SHEET'!C$13</f>
        <v>28</v>
      </c>
      <c r="L50" s="93">
        <f t="shared" ref="L50" si="100">I50*K50</f>
        <v>61.88</v>
      </c>
      <c r="M50" s="93">
        <f t="shared" ref="M50" si="101">K50*J50</f>
        <v>4277.9704373806399</v>
      </c>
      <c r="N50" s="93">
        <v>186</v>
      </c>
      <c r="O50" s="93">
        <f t="shared" ref="O50" si="102">N50*G50</f>
        <v>12858.799310808001</v>
      </c>
      <c r="P50" s="93">
        <f t="shared" ref="P50" si="103">(I50*K50)+N50</f>
        <v>247.88</v>
      </c>
      <c r="Q50" s="112">
        <f t="shared" ref="Q50" si="104">P50*G50</f>
        <v>17136.769748188599</v>
      </c>
      <c r="R50" s="105"/>
      <c r="S50" s="105"/>
    </row>
    <row r="51" spans="1:19" s="28" customFormat="1" ht="46.5">
      <c r="A51" s="55">
        <f>IF(F51&lt;&gt;"",1+MAX($A$2:A50),"")</f>
        <v>30</v>
      </c>
      <c r="B51" s="75"/>
      <c r="C51" s="78"/>
      <c r="D51" s="51" t="s">
        <v>84</v>
      </c>
      <c r="E51" s="60">
        <v>8673.7433999999994</v>
      </c>
      <c r="F51" s="59">
        <v>0.05</v>
      </c>
      <c r="G51" s="64">
        <f t="shared" si="98"/>
        <v>9107.4305700000004</v>
      </c>
      <c r="H51" s="58" t="s">
        <v>65</v>
      </c>
      <c r="I51" s="90">
        <v>1.0999999999999999E-2</v>
      </c>
      <c r="J51" s="91">
        <f t="shared" ref="J51" si="105">+I51*G51</f>
        <v>100.18173627</v>
      </c>
      <c r="K51" s="92">
        <f>'LABOR SHEET'!C$13</f>
        <v>28</v>
      </c>
      <c r="L51" s="93">
        <f t="shared" ref="L51" si="106">I51*K51</f>
        <v>0.308</v>
      </c>
      <c r="M51" s="93">
        <f t="shared" ref="M51" si="107">K51*J51</f>
        <v>2805.0886155600001</v>
      </c>
      <c r="N51" s="93">
        <v>1</v>
      </c>
      <c r="O51" s="93">
        <f t="shared" ref="O51" si="108">N51*G51</f>
        <v>9107.4305700000004</v>
      </c>
      <c r="P51" s="93">
        <f t="shared" ref="P51" si="109">(I51*K51)+N51</f>
        <v>1.3080000000000001</v>
      </c>
      <c r="Q51" s="112">
        <f t="shared" ref="Q51" si="110">P51*G51</f>
        <v>11912.519185560001</v>
      </c>
      <c r="R51" s="105"/>
      <c r="S51" s="105"/>
    </row>
    <row r="52" spans="1:19" s="28" customFormat="1">
      <c r="A52" s="55" t="str">
        <f>IF(F52&lt;&gt;"",1+MAX($A$2:A51),"")</f>
        <v/>
      </c>
      <c r="B52" s="75"/>
      <c r="C52" s="78"/>
      <c r="D52" s="51"/>
      <c r="E52" s="60"/>
      <c r="F52" s="59"/>
      <c r="G52" s="60"/>
      <c r="H52" s="58"/>
      <c r="I52" s="90"/>
      <c r="J52" s="91"/>
      <c r="K52" s="92"/>
      <c r="L52" s="93"/>
      <c r="M52" s="93"/>
      <c r="N52" s="93"/>
      <c r="O52" s="93"/>
      <c r="P52" s="93"/>
      <c r="Q52" s="112"/>
      <c r="R52" s="105"/>
      <c r="S52" s="105"/>
    </row>
    <row r="53" spans="1:19" s="28" customFormat="1">
      <c r="A53" s="55">
        <f>IF(F53&lt;&gt;"",1+MAX($A$2:A52),"")</f>
        <v>31</v>
      </c>
      <c r="B53" s="75"/>
      <c r="C53" s="78"/>
      <c r="D53" s="51" t="s">
        <v>85</v>
      </c>
      <c r="E53" s="60">
        <v>6.4539999999999997</v>
      </c>
      <c r="F53" s="59">
        <v>0.1</v>
      </c>
      <c r="G53" s="64">
        <f t="shared" ref="G53:G54" si="111">(F53*E53)+E53</f>
        <v>7.0994000000000002</v>
      </c>
      <c r="H53" s="58" t="s">
        <v>63</v>
      </c>
      <c r="I53" s="90">
        <v>2.21</v>
      </c>
      <c r="J53" s="91">
        <f t="shared" ref="J53" si="112">+I53*G53</f>
        <v>15.689674</v>
      </c>
      <c r="K53" s="92">
        <f>'LABOR SHEET'!C$13</f>
        <v>28</v>
      </c>
      <c r="L53" s="93">
        <f t="shared" ref="L53" si="113">I53*K53</f>
        <v>61.88</v>
      </c>
      <c r="M53" s="93">
        <f t="shared" ref="M53" si="114">K53*J53</f>
        <v>439.31087200000002</v>
      </c>
      <c r="N53" s="93">
        <v>186</v>
      </c>
      <c r="O53" s="93">
        <f t="shared" ref="O53" si="115">N53*G53</f>
        <v>1320.4884</v>
      </c>
      <c r="P53" s="93">
        <f t="shared" ref="P53" si="116">(I53*K53)+N53</f>
        <v>247.88</v>
      </c>
      <c r="Q53" s="112">
        <f t="shared" ref="Q53" si="117">P53*G53</f>
        <v>1759.799272</v>
      </c>
      <c r="R53" s="105"/>
      <c r="S53" s="105"/>
    </row>
    <row r="54" spans="1:19" s="28" customFormat="1">
      <c r="A54" s="55">
        <f>IF(F54&lt;&gt;"",1+MAX($A$2:A53),"")</f>
        <v>32</v>
      </c>
      <c r="B54" s="75"/>
      <c r="C54" s="78"/>
      <c r="D54" s="51" t="s">
        <v>86</v>
      </c>
      <c r="E54" s="60">
        <v>414.9</v>
      </c>
      <c r="F54" s="59">
        <v>0.1</v>
      </c>
      <c r="G54" s="64">
        <f t="shared" si="111"/>
        <v>456.39</v>
      </c>
      <c r="H54" s="58" t="s">
        <v>67</v>
      </c>
      <c r="I54" s="90">
        <v>0.01</v>
      </c>
      <c r="J54" s="91">
        <f t="shared" ref="J54" si="118">+I54*G54</f>
        <v>4.5639000000000003</v>
      </c>
      <c r="K54" s="92">
        <f>'LABOR SHEET'!C$13</f>
        <v>28</v>
      </c>
      <c r="L54" s="93">
        <f t="shared" ref="L54" si="119">I54*K54</f>
        <v>0.28000000000000003</v>
      </c>
      <c r="M54" s="93">
        <f t="shared" ref="M54" si="120">K54*J54</f>
        <v>127.78919999999999</v>
      </c>
      <c r="N54" s="93">
        <v>0.55000000000000004</v>
      </c>
      <c r="O54" s="93">
        <f t="shared" ref="O54" si="121">N54*G54</f>
        <v>251.0145</v>
      </c>
      <c r="P54" s="93">
        <f t="shared" ref="P54" si="122">(I54*K54)+N54</f>
        <v>0.83</v>
      </c>
      <c r="Q54" s="112">
        <f t="shared" ref="Q54" si="123">P54*G54</f>
        <v>378.80369999999999</v>
      </c>
      <c r="R54" s="105"/>
      <c r="S54" s="105"/>
    </row>
    <row r="55" spans="1:19" s="28" customFormat="1">
      <c r="A55" s="55" t="str">
        <f>IF(F55&lt;&gt;"",1+MAX($A$2:A54),"")</f>
        <v/>
      </c>
      <c r="B55" s="75"/>
      <c r="C55" s="83"/>
      <c r="D55" s="51"/>
      <c r="E55" s="84"/>
      <c r="F55" s="59"/>
      <c r="G55" s="60"/>
      <c r="H55" s="58"/>
      <c r="I55" s="90"/>
      <c r="J55" s="91"/>
      <c r="K55" s="92"/>
      <c r="L55" s="93"/>
      <c r="M55" s="93"/>
      <c r="N55" s="93"/>
      <c r="O55" s="93"/>
      <c r="P55" s="93"/>
      <c r="Q55" s="112"/>
      <c r="R55" s="105"/>
      <c r="S55" s="105"/>
    </row>
    <row r="56" spans="1:19" s="28" customFormat="1">
      <c r="A56" s="55" t="str">
        <f>IF(F56&lt;&gt;"",1+MAX($A$2:A55),"")</f>
        <v/>
      </c>
      <c r="B56" s="71"/>
      <c r="C56" s="66"/>
      <c r="D56" s="72" t="s">
        <v>87</v>
      </c>
      <c r="E56" s="73"/>
      <c r="F56" s="82"/>
      <c r="G56" s="60"/>
      <c r="H56" s="58"/>
      <c r="I56" s="99"/>
      <c r="J56" s="60"/>
      <c r="K56" s="100"/>
      <c r="L56" s="100"/>
      <c r="M56" s="100"/>
      <c r="N56" s="100"/>
      <c r="O56" s="100"/>
      <c r="P56" s="100"/>
      <c r="Q56" s="111"/>
      <c r="R56" s="105"/>
      <c r="S56" s="105"/>
    </row>
    <row r="57" spans="1:19" s="28" customFormat="1">
      <c r="A57" s="55">
        <f>IF(F57&lt;&gt;"",1+MAX($A$2:A56),"")</f>
        <v>33</v>
      </c>
      <c r="B57" s="75"/>
      <c r="C57" s="78"/>
      <c r="D57" s="51" t="s">
        <v>88</v>
      </c>
      <c r="E57" s="60">
        <v>4.2244740740740703</v>
      </c>
      <c r="F57" s="59">
        <v>0</v>
      </c>
      <c r="G57" s="64">
        <f t="shared" ref="G57:G58" si="124">(F57*E57)+E57</f>
        <v>4.2244740740740703</v>
      </c>
      <c r="H57" s="58" t="s">
        <v>63</v>
      </c>
      <c r="I57" s="90">
        <v>2.7</v>
      </c>
      <c r="J57" s="91">
        <f t="shared" ref="J57:J58" si="125">+I57*G57</f>
        <v>11.406079999999999</v>
      </c>
      <c r="K57" s="92">
        <f>'LABOR SHEET'!C$13</f>
        <v>28</v>
      </c>
      <c r="L57" s="93">
        <f t="shared" ref="L57:L58" si="126">I57*K57</f>
        <v>75.599999999999994</v>
      </c>
      <c r="M57" s="93">
        <f t="shared" ref="M57:M58" si="127">K57*J57</f>
        <v>319.37024000000002</v>
      </c>
      <c r="N57" s="93">
        <v>168.5</v>
      </c>
      <c r="O57" s="93">
        <f t="shared" ref="O57:O58" si="128">N57*G57</f>
        <v>711.82388148148095</v>
      </c>
      <c r="P57" s="93">
        <f t="shared" ref="P57:P58" si="129">(I57*K57)+N57</f>
        <v>244.1</v>
      </c>
      <c r="Q57" s="112">
        <f t="shared" ref="Q57:Q58" si="130">P57*G57</f>
        <v>1031.1941214814799</v>
      </c>
      <c r="R57" s="105"/>
      <c r="S57" s="105"/>
    </row>
    <row r="58" spans="1:19" s="28" customFormat="1">
      <c r="A58" s="55">
        <f>IF(F58&lt;&gt;"",1+MAX($A$2:A57),"")</f>
        <v>34</v>
      </c>
      <c r="B58" s="75"/>
      <c r="C58" s="78"/>
      <c r="D58" s="51" t="s">
        <v>89</v>
      </c>
      <c r="E58" s="60">
        <v>7.5752296296296304</v>
      </c>
      <c r="F58" s="59">
        <v>0</v>
      </c>
      <c r="G58" s="64">
        <f t="shared" si="124"/>
        <v>7.5752296296296304</v>
      </c>
      <c r="H58" s="58" t="s">
        <v>63</v>
      </c>
      <c r="I58" s="90">
        <v>2.7</v>
      </c>
      <c r="J58" s="91">
        <f t="shared" si="125"/>
        <v>20.453119999999998</v>
      </c>
      <c r="K58" s="92">
        <f>'LABOR SHEET'!C$13</f>
        <v>28</v>
      </c>
      <c r="L58" s="93">
        <f t="shared" si="126"/>
        <v>75.599999999999994</v>
      </c>
      <c r="M58" s="93">
        <f t="shared" si="127"/>
        <v>572.68736000000001</v>
      </c>
      <c r="N58" s="93">
        <v>168.5</v>
      </c>
      <c r="O58" s="93">
        <f t="shared" si="128"/>
        <v>1276.42619259259</v>
      </c>
      <c r="P58" s="93">
        <f t="shared" si="129"/>
        <v>244.1</v>
      </c>
      <c r="Q58" s="112">
        <f t="shared" si="130"/>
        <v>1849.1135525925899</v>
      </c>
      <c r="R58" s="105"/>
      <c r="S58" s="105"/>
    </row>
    <row r="59" spans="1:19" s="28" customFormat="1">
      <c r="A59" s="55" t="str">
        <f>IF(F59&lt;&gt;"",1+MAX($A$2:A58),"")</f>
        <v/>
      </c>
      <c r="B59" s="75"/>
      <c r="C59" s="83"/>
      <c r="D59" s="51"/>
      <c r="E59" s="84"/>
      <c r="F59" s="59"/>
      <c r="G59" s="60"/>
      <c r="H59" s="58"/>
      <c r="I59" s="90"/>
      <c r="J59" s="91"/>
      <c r="K59" s="92"/>
      <c r="L59" s="93"/>
      <c r="M59" s="93"/>
      <c r="N59" s="93"/>
      <c r="O59" s="93"/>
      <c r="P59" s="93"/>
      <c r="Q59" s="112"/>
      <c r="R59" s="105"/>
      <c r="S59" s="105"/>
    </row>
    <row r="60" spans="1:19" s="28" customFormat="1">
      <c r="A60" s="55" t="str">
        <f>IF(F60&lt;&gt;"",1+MAX($A$2:A59),"")</f>
        <v/>
      </c>
      <c r="B60" s="71"/>
      <c r="C60" s="66"/>
      <c r="D60" s="72" t="s">
        <v>90</v>
      </c>
      <c r="E60" s="73"/>
      <c r="F60" s="82"/>
      <c r="G60" s="60"/>
      <c r="H60" s="58"/>
      <c r="I60" s="99"/>
      <c r="J60" s="60"/>
      <c r="K60" s="100"/>
      <c r="L60" s="100"/>
      <c r="M60" s="100"/>
      <c r="N60" s="100"/>
      <c r="O60" s="100"/>
      <c r="P60" s="100"/>
      <c r="Q60" s="111"/>
      <c r="R60" s="105"/>
      <c r="S60" s="105"/>
    </row>
    <row r="61" spans="1:19" s="28" customFormat="1">
      <c r="A61" s="55">
        <f>IF(F61&lt;&gt;"",1+MAX($A$2:A60),"")</f>
        <v>35</v>
      </c>
      <c r="B61" s="75"/>
      <c r="C61" s="78"/>
      <c r="D61" s="51" t="s">
        <v>91</v>
      </c>
      <c r="E61" s="60">
        <v>357.81611111111101</v>
      </c>
      <c r="F61" s="59">
        <v>0.1</v>
      </c>
      <c r="G61" s="64">
        <f t="shared" ref="G61:G63" si="131">(F61*E61)+E61</f>
        <v>393.59772222222199</v>
      </c>
      <c r="H61" s="58" t="s">
        <v>63</v>
      </c>
      <c r="I61" s="90">
        <v>2.7</v>
      </c>
      <c r="J61" s="91">
        <f t="shared" ref="J61" si="132">+I61*G61</f>
        <v>1062.7138500000001</v>
      </c>
      <c r="K61" s="92">
        <f>'LABOR SHEET'!C$13</f>
        <v>28</v>
      </c>
      <c r="L61" s="93">
        <f t="shared" ref="L61" si="133">I61*K61</f>
        <v>75.599999999999994</v>
      </c>
      <c r="M61" s="93">
        <f t="shared" ref="M61" si="134">K61*J61</f>
        <v>29755.987799999999</v>
      </c>
      <c r="N61" s="93">
        <v>168.5</v>
      </c>
      <c r="O61" s="93">
        <f t="shared" ref="O61" si="135">N61*G61</f>
        <v>66321.216194444394</v>
      </c>
      <c r="P61" s="93">
        <f t="shared" ref="P61" si="136">(I61*K61)+N61</f>
        <v>244.1</v>
      </c>
      <c r="Q61" s="112">
        <f t="shared" ref="Q61" si="137">P61*G61</f>
        <v>96077.203994444397</v>
      </c>
      <c r="R61" s="105"/>
      <c r="S61" s="105"/>
    </row>
    <row r="62" spans="1:19" s="28" customFormat="1" ht="62">
      <c r="A62" s="55">
        <f>IF(F62&lt;&gt;"",1+MAX($A$2:A61),"")</f>
        <v>36</v>
      </c>
      <c r="B62" s="75"/>
      <c r="C62" s="78"/>
      <c r="D62" s="51" t="s">
        <v>92</v>
      </c>
      <c r="E62" s="60">
        <v>37081.906434210498</v>
      </c>
      <c r="F62" s="59">
        <v>0.05</v>
      </c>
      <c r="G62" s="64">
        <f t="shared" si="131"/>
        <v>38936.001755921003</v>
      </c>
      <c r="H62" s="58" t="s">
        <v>65</v>
      </c>
      <c r="I62" s="90">
        <v>1.0999999999999999E-2</v>
      </c>
      <c r="J62" s="91">
        <f t="shared" ref="J62:J67" si="138">+I62*G62</f>
        <v>428.29601931513099</v>
      </c>
      <c r="K62" s="92">
        <f>'LABOR SHEET'!C$13</f>
        <v>28</v>
      </c>
      <c r="L62" s="93">
        <f t="shared" ref="L62:L67" si="139">I62*K62</f>
        <v>0.308</v>
      </c>
      <c r="M62" s="93">
        <f t="shared" ref="M62:M67" si="140">K62*J62</f>
        <v>11992.2885408237</v>
      </c>
      <c r="N62" s="93">
        <v>1</v>
      </c>
      <c r="O62" s="93">
        <f t="shared" ref="O62:O67" si="141">N62*G62</f>
        <v>38936.001755921003</v>
      </c>
      <c r="P62" s="93">
        <f t="shared" ref="P62:P67" si="142">(I62*K62)+N62</f>
        <v>1.3080000000000001</v>
      </c>
      <c r="Q62" s="112">
        <f t="shared" ref="Q62:Q67" si="143">P62*G62</f>
        <v>50928.290296744701</v>
      </c>
      <c r="R62" s="105"/>
      <c r="S62" s="105"/>
    </row>
    <row r="63" spans="1:19" s="28" customFormat="1">
      <c r="A63" s="55">
        <f>IF(F63&lt;&gt;"",1+MAX($A$2:A62),"")</f>
        <v>37</v>
      </c>
      <c r="B63" s="75"/>
      <c r="C63" s="78"/>
      <c r="D63" s="51" t="s">
        <v>66</v>
      </c>
      <c r="E63" s="60">
        <v>19322.07</v>
      </c>
      <c r="F63" s="59">
        <v>0.1</v>
      </c>
      <c r="G63" s="64">
        <f t="shared" si="131"/>
        <v>21254.276999999998</v>
      </c>
      <c r="H63" s="58" t="s">
        <v>67</v>
      </c>
      <c r="I63" s="90">
        <v>1.7999999999999999E-2</v>
      </c>
      <c r="J63" s="91">
        <f t="shared" si="138"/>
        <v>382.57698599999998</v>
      </c>
      <c r="K63" s="92">
        <f>'LABOR SHEET'!C$13</f>
        <v>28</v>
      </c>
      <c r="L63" s="93">
        <f t="shared" si="139"/>
        <v>0.504</v>
      </c>
      <c r="M63" s="93">
        <f t="shared" si="140"/>
        <v>10712.155607999999</v>
      </c>
      <c r="N63" s="93">
        <v>3</v>
      </c>
      <c r="O63" s="93">
        <f t="shared" si="141"/>
        <v>63762.830999999998</v>
      </c>
      <c r="P63" s="93">
        <f t="shared" si="142"/>
        <v>3.504</v>
      </c>
      <c r="Q63" s="112">
        <f t="shared" si="143"/>
        <v>74474.986608000007</v>
      </c>
      <c r="R63" s="105"/>
      <c r="S63" s="105"/>
    </row>
    <row r="64" spans="1:19" s="28" customFormat="1">
      <c r="A64" s="55" t="str">
        <f>IF(F64&lt;&gt;"",1+MAX($A$2:A63),"")</f>
        <v/>
      </c>
      <c r="B64" s="75"/>
      <c r="C64" s="78"/>
      <c r="D64" s="51"/>
      <c r="E64" s="60"/>
      <c r="F64" s="59"/>
      <c r="G64" s="60"/>
      <c r="H64" s="58"/>
      <c r="I64" s="90"/>
      <c r="J64" s="91"/>
      <c r="K64" s="92"/>
      <c r="L64" s="93"/>
      <c r="M64" s="93"/>
      <c r="N64" s="93"/>
      <c r="O64" s="93"/>
      <c r="P64" s="93"/>
      <c r="Q64" s="112"/>
      <c r="R64" s="105"/>
      <c r="S64" s="105"/>
    </row>
    <row r="65" spans="1:19" s="28" customFormat="1">
      <c r="A65" s="55">
        <f>IF(F65&lt;&gt;"",1+MAX($A$2:A64),"")</f>
        <v>38</v>
      </c>
      <c r="B65" s="75"/>
      <c r="C65" s="78"/>
      <c r="D65" s="51" t="s">
        <v>93</v>
      </c>
      <c r="E65" s="60">
        <v>9.1204370370370391</v>
      </c>
      <c r="F65" s="59">
        <v>0.1</v>
      </c>
      <c r="G65" s="64">
        <f t="shared" ref="G65:G67" si="144">(F65*E65)+E65</f>
        <v>10.0324807407407</v>
      </c>
      <c r="H65" s="58" t="s">
        <v>63</v>
      </c>
      <c r="I65" s="90">
        <v>2.7</v>
      </c>
      <c r="J65" s="91">
        <f t="shared" ref="J65" si="145">+I65*G65</f>
        <v>27.087698</v>
      </c>
      <c r="K65" s="92">
        <f>'LABOR SHEET'!C$13</f>
        <v>28</v>
      </c>
      <c r="L65" s="93">
        <f t="shared" ref="L65" si="146">I65*K65</f>
        <v>75.599999999999994</v>
      </c>
      <c r="M65" s="93">
        <f t="shared" ref="M65" si="147">K65*J65</f>
        <v>758.45554400000003</v>
      </c>
      <c r="N65" s="93">
        <v>168.5</v>
      </c>
      <c r="O65" s="93">
        <f t="shared" ref="O65" si="148">N65*G65</f>
        <v>1690.4730048148199</v>
      </c>
      <c r="P65" s="93">
        <f t="shared" ref="P65" si="149">(I65*K65)+N65</f>
        <v>244.1</v>
      </c>
      <c r="Q65" s="112">
        <f t="shared" ref="Q65" si="150">P65*G65</f>
        <v>2448.9285488148198</v>
      </c>
      <c r="R65" s="105"/>
      <c r="S65" s="105"/>
    </row>
    <row r="66" spans="1:19" s="28" customFormat="1" ht="46.5">
      <c r="A66" s="55">
        <f>IF(F66&lt;&gt;"",1+MAX($A$2:A65),"")</f>
        <v>39</v>
      </c>
      <c r="B66" s="75"/>
      <c r="C66" s="78"/>
      <c r="D66" s="51" t="s">
        <v>94</v>
      </c>
      <c r="E66" s="60">
        <v>1433.8034736842101</v>
      </c>
      <c r="F66" s="59">
        <v>0.05</v>
      </c>
      <c r="G66" s="64">
        <f t="shared" si="144"/>
        <v>1505.4936473684199</v>
      </c>
      <c r="H66" s="58" t="s">
        <v>65</v>
      </c>
      <c r="I66" s="90">
        <v>1.0999999999999999E-2</v>
      </c>
      <c r="J66" s="91">
        <f t="shared" si="138"/>
        <v>16.560430121052601</v>
      </c>
      <c r="K66" s="92">
        <f>'LABOR SHEET'!C$13</f>
        <v>28</v>
      </c>
      <c r="L66" s="93">
        <f t="shared" si="139"/>
        <v>0.308</v>
      </c>
      <c r="M66" s="93">
        <f t="shared" si="140"/>
        <v>463.69204338947299</v>
      </c>
      <c r="N66" s="93">
        <v>1</v>
      </c>
      <c r="O66" s="93">
        <f t="shared" si="141"/>
        <v>1505.4936473684199</v>
      </c>
      <c r="P66" s="93">
        <f t="shared" si="142"/>
        <v>1.3080000000000001</v>
      </c>
      <c r="Q66" s="112">
        <f t="shared" si="143"/>
        <v>1969.1856907578899</v>
      </c>
      <c r="R66" s="105"/>
      <c r="S66" s="105"/>
    </row>
    <row r="67" spans="1:19" s="28" customFormat="1">
      <c r="A67" s="55">
        <f>IF(F67&lt;&gt;"",1+MAX($A$2:A66),"")</f>
        <v>40</v>
      </c>
      <c r="B67" s="75"/>
      <c r="C67" s="78"/>
      <c r="D67" s="51" t="s">
        <v>66</v>
      </c>
      <c r="E67" s="60">
        <v>735.08</v>
      </c>
      <c r="F67" s="59">
        <v>0.1</v>
      </c>
      <c r="G67" s="64">
        <f t="shared" si="144"/>
        <v>808.58799999999997</v>
      </c>
      <c r="H67" s="58" t="s">
        <v>67</v>
      </c>
      <c r="I67" s="90">
        <v>1.7999999999999999E-2</v>
      </c>
      <c r="J67" s="91">
        <f t="shared" si="138"/>
        <v>14.554584</v>
      </c>
      <c r="K67" s="92">
        <f>'LABOR SHEET'!C$13</f>
        <v>28</v>
      </c>
      <c r="L67" s="93">
        <f t="shared" si="139"/>
        <v>0.504</v>
      </c>
      <c r="M67" s="93">
        <f t="shared" si="140"/>
        <v>407.52835199999998</v>
      </c>
      <c r="N67" s="93">
        <v>3</v>
      </c>
      <c r="O67" s="93">
        <f t="shared" si="141"/>
        <v>2425.7640000000001</v>
      </c>
      <c r="P67" s="93">
        <f t="shared" si="142"/>
        <v>3.504</v>
      </c>
      <c r="Q67" s="112">
        <f t="shared" si="143"/>
        <v>2833.2923519999999</v>
      </c>
      <c r="R67" s="105"/>
      <c r="S67" s="105"/>
    </row>
    <row r="68" spans="1:19" s="28" customFormat="1">
      <c r="A68" s="55" t="str">
        <f>IF(F68&lt;&gt;"",1+MAX($A$2:A67),"")</f>
        <v/>
      </c>
      <c r="B68" s="75"/>
      <c r="C68" s="78"/>
      <c r="D68" s="51"/>
      <c r="E68" s="60"/>
      <c r="F68" s="59"/>
      <c r="G68" s="60"/>
      <c r="H68" s="58"/>
      <c r="I68" s="90"/>
      <c r="J68" s="91"/>
      <c r="K68" s="92"/>
      <c r="L68" s="93"/>
      <c r="M68" s="93"/>
      <c r="N68" s="93"/>
      <c r="O68" s="93"/>
      <c r="P68" s="93"/>
      <c r="Q68" s="112"/>
      <c r="R68" s="105"/>
      <c r="S68" s="105"/>
    </row>
    <row r="69" spans="1:19" s="28" customFormat="1">
      <c r="A69" s="55" t="str">
        <f>IF(F69&lt;&gt;"",1+MAX($A$2:A68),"")</f>
        <v/>
      </c>
      <c r="B69" s="71"/>
      <c r="C69" s="66"/>
      <c r="D69" s="72" t="s">
        <v>95</v>
      </c>
      <c r="E69" s="73"/>
      <c r="F69" s="82"/>
      <c r="G69" s="60"/>
      <c r="H69" s="58"/>
      <c r="I69" s="99"/>
      <c r="J69" s="60"/>
      <c r="K69" s="100"/>
      <c r="L69" s="100"/>
      <c r="M69" s="100"/>
      <c r="N69" s="100"/>
      <c r="O69" s="100"/>
      <c r="P69" s="100"/>
      <c r="Q69" s="111"/>
      <c r="R69" s="105"/>
      <c r="S69" s="105"/>
    </row>
    <row r="70" spans="1:19" s="28" customFormat="1">
      <c r="A70" s="55">
        <f>IF(F70&lt;&gt;"",1+MAX($A$2:A69),"")</f>
        <v>41</v>
      </c>
      <c r="B70" s="75"/>
      <c r="C70" s="78"/>
      <c r="D70" s="51" t="s">
        <v>96</v>
      </c>
      <c r="E70" s="60">
        <v>3.6375000000000002</v>
      </c>
      <c r="F70" s="59">
        <v>0.1</v>
      </c>
      <c r="G70" s="64">
        <f t="shared" ref="G70:G72" si="151">(F70*E70)+E70</f>
        <v>4.0012499999999998</v>
      </c>
      <c r="H70" s="58" t="s">
        <v>63</v>
      </c>
      <c r="I70" s="90">
        <v>2.7</v>
      </c>
      <c r="J70" s="91">
        <f t="shared" ref="J70" si="152">+I70*G70</f>
        <v>10.803375000000001</v>
      </c>
      <c r="K70" s="92">
        <f>'LABOR SHEET'!C$13</f>
        <v>28</v>
      </c>
      <c r="L70" s="93">
        <f t="shared" ref="L70" si="153">I70*K70</f>
        <v>75.599999999999994</v>
      </c>
      <c r="M70" s="93">
        <f t="shared" ref="M70" si="154">K70*J70</f>
        <v>302.49450000000002</v>
      </c>
      <c r="N70" s="93">
        <v>168.5</v>
      </c>
      <c r="O70" s="93">
        <f t="shared" ref="O70" si="155">N70*G70</f>
        <v>674.21062500000005</v>
      </c>
      <c r="P70" s="93">
        <f t="shared" ref="P70" si="156">(I70*K70)+N70</f>
        <v>244.1</v>
      </c>
      <c r="Q70" s="112">
        <f t="shared" ref="Q70" si="157">P70*G70</f>
        <v>976.70512499999995</v>
      </c>
      <c r="R70" s="105"/>
      <c r="S70" s="105"/>
    </row>
    <row r="71" spans="1:19" s="28" customFormat="1" ht="46.5">
      <c r="A71" s="55">
        <f>IF(F71&lt;&gt;"",1+MAX($A$2:A70),"")</f>
        <v>42</v>
      </c>
      <c r="B71" s="75"/>
      <c r="C71" s="78"/>
      <c r="D71" s="51" t="s">
        <v>97</v>
      </c>
      <c r="E71" s="60">
        <v>351.47325039999998</v>
      </c>
      <c r="F71" s="59">
        <v>0.05</v>
      </c>
      <c r="G71" s="64">
        <f t="shared" si="151"/>
        <v>369.04691292000001</v>
      </c>
      <c r="H71" s="58" t="s">
        <v>65</v>
      </c>
      <c r="I71" s="90">
        <v>1.0999999999999999E-2</v>
      </c>
      <c r="J71" s="91">
        <f t="shared" ref="J71:J72" si="158">+I71*G71</f>
        <v>4.0595160421200003</v>
      </c>
      <c r="K71" s="92">
        <f>'LABOR SHEET'!C$13</f>
        <v>28</v>
      </c>
      <c r="L71" s="93">
        <f t="shared" ref="L71:L72" si="159">I71*K71</f>
        <v>0.308</v>
      </c>
      <c r="M71" s="93">
        <f t="shared" ref="M71:M72" si="160">K71*J71</f>
        <v>113.66644917936</v>
      </c>
      <c r="N71" s="93">
        <v>1</v>
      </c>
      <c r="O71" s="93">
        <f t="shared" ref="O71:O72" si="161">N71*G71</f>
        <v>369.04691292000001</v>
      </c>
      <c r="P71" s="93">
        <f t="shared" ref="P71:P72" si="162">(I71*K71)+N71</f>
        <v>1.3080000000000001</v>
      </c>
      <c r="Q71" s="112">
        <f t="shared" ref="Q71:Q72" si="163">P71*G71</f>
        <v>482.71336209935998</v>
      </c>
      <c r="R71" s="105"/>
      <c r="S71" s="105"/>
    </row>
    <row r="72" spans="1:19" s="28" customFormat="1">
      <c r="A72" s="55">
        <f>IF(F72&lt;&gt;"",1+MAX($A$2:A71),"")</f>
        <v>43</v>
      </c>
      <c r="B72" s="75"/>
      <c r="C72" s="78"/>
      <c r="D72" s="51" t="s">
        <v>66</v>
      </c>
      <c r="E72" s="60">
        <v>2966.4342333760001</v>
      </c>
      <c r="F72" s="59">
        <v>0.1</v>
      </c>
      <c r="G72" s="64">
        <f t="shared" si="151"/>
        <v>3263.0776567135999</v>
      </c>
      <c r="H72" s="58" t="s">
        <v>67</v>
      </c>
      <c r="I72" s="90">
        <v>1.7999999999999999E-2</v>
      </c>
      <c r="J72" s="91">
        <f t="shared" si="158"/>
        <v>58.735397820844803</v>
      </c>
      <c r="K72" s="92">
        <f>'LABOR SHEET'!C$13</f>
        <v>28</v>
      </c>
      <c r="L72" s="93">
        <f t="shared" si="159"/>
        <v>0.504</v>
      </c>
      <c r="M72" s="93">
        <f t="shared" si="160"/>
        <v>1644.5911389836499</v>
      </c>
      <c r="N72" s="93">
        <v>3</v>
      </c>
      <c r="O72" s="93">
        <f t="shared" si="161"/>
        <v>9789.2329701407998</v>
      </c>
      <c r="P72" s="93">
        <f t="shared" si="162"/>
        <v>3.504</v>
      </c>
      <c r="Q72" s="112">
        <f t="shared" si="163"/>
        <v>11433.8241091245</v>
      </c>
      <c r="R72" s="105"/>
      <c r="S72" s="105"/>
    </row>
    <row r="73" spans="1:19" s="28" customFormat="1">
      <c r="A73" s="55" t="str">
        <f>IF(F73&lt;&gt;"",1+MAX($A$2:A72),"")</f>
        <v/>
      </c>
      <c r="B73" s="75"/>
      <c r="C73" s="78"/>
      <c r="D73" s="51"/>
      <c r="E73" s="60"/>
      <c r="F73" s="59"/>
      <c r="G73" s="60"/>
      <c r="H73" s="58"/>
      <c r="I73" s="90"/>
      <c r="J73" s="91"/>
      <c r="K73" s="92"/>
      <c r="L73" s="93"/>
      <c r="M73" s="93"/>
      <c r="N73" s="93"/>
      <c r="O73" s="93"/>
      <c r="P73" s="93"/>
      <c r="Q73" s="112"/>
      <c r="R73" s="105"/>
      <c r="S73" s="105"/>
    </row>
    <row r="74" spans="1:19" s="28" customFormat="1">
      <c r="A74" s="55">
        <f>IF(F74&lt;&gt;"",1+MAX($A$2:A73),"")</f>
        <v>44</v>
      </c>
      <c r="B74" s="75"/>
      <c r="C74" s="78"/>
      <c r="D74" s="51" t="s">
        <v>98</v>
      </c>
      <c r="E74" s="60">
        <v>3.85771855555556</v>
      </c>
      <c r="F74" s="59">
        <v>0.1</v>
      </c>
      <c r="G74" s="64">
        <f t="shared" ref="G74:G76" si="164">(F74*E74)+E74</f>
        <v>4.2434904111111198</v>
      </c>
      <c r="H74" s="58" t="s">
        <v>63</v>
      </c>
      <c r="I74" s="90">
        <v>2.7</v>
      </c>
      <c r="J74" s="91">
        <f t="shared" ref="J74" si="165">+I74*G74</f>
        <v>11.45742411</v>
      </c>
      <c r="K74" s="92">
        <f>'LABOR SHEET'!C$13</f>
        <v>28</v>
      </c>
      <c r="L74" s="93">
        <f t="shared" ref="L74" si="166">I74*K74</f>
        <v>75.599999999999994</v>
      </c>
      <c r="M74" s="93">
        <f t="shared" ref="M74" si="167">K74*J74</f>
        <v>320.80787507999997</v>
      </c>
      <c r="N74" s="93">
        <v>186</v>
      </c>
      <c r="O74" s="93">
        <f t="shared" ref="O74" si="168">N74*G74</f>
        <v>789.28921646666799</v>
      </c>
      <c r="P74" s="93">
        <f t="shared" ref="P74" si="169">(I74*K74)+N74</f>
        <v>261.60000000000002</v>
      </c>
      <c r="Q74" s="112">
        <f t="shared" ref="Q74" si="170">P74*G74</f>
        <v>1110.0970915466701</v>
      </c>
      <c r="R74" s="105"/>
      <c r="S74" s="105"/>
    </row>
    <row r="75" spans="1:19" s="28" customFormat="1" ht="46.5">
      <c r="A75" s="55">
        <f>IF(F75&lt;&gt;"",1+MAX($A$2:A74),"")</f>
        <v>45</v>
      </c>
      <c r="B75" s="75"/>
      <c r="C75" s="78"/>
      <c r="D75" s="51" t="s">
        <v>99</v>
      </c>
      <c r="E75" s="60">
        <v>748.12551120000001</v>
      </c>
      <c r="F75" s="59">
        <v>0.05</v>
      </c>
      <c r="G75" s="64">
        <f t="shared" si="164"/>
        <v>785.53178676000005</v>
      </c>
      <c r="H75" s="58" t="s">
        <v>65</v>
      </c>
      <c r="I75" s="90">
        <v>1.0999999999999999E-2</v>
      </c>
      <c r="J75" s="91">
        <f t="shared" ref="J75:J76" si="171">+I75*G75</f>
        <v>8.6408496543600002</v>
      </c>
      <c r="K75" s="92">
        <f>'LABOR SHEET'!C$13</f>
        <v>28</v>
      </c>
      <c r="L75" s="93">
        <f t="shared" ref="L75:L76" si="172">I75*K75</f>
        <v>0.308</v>
      </c>
      <c r="M75" s="93">
        <f t="shared" ref="M75:M76" si="173">K75*J75</f>
        <v>241.94379032207999</v>
      </c>
      <c r="N75" s="93">
        <v>1</v>
      </c>
      <c r="O75" s="93">
        <f t="shared" ref="O75:O76" si="174">N75*G75</f>
        <v>785.53178676000005</v>
      </c>
      <c r="P75" s="93">
        <f t="shared" ref="P75:P76" si="175">(I75*K75)+N75</f>
        <v>1.3080000000000001</v>
      </c>
      <c r="Q75" s="112">
        <f t="shared" ref="Q75:Q76" si="176">P75*G75</f>
        <v>1027.47557708208</v>
      </c>
      <c r="R75" s="105"/>
      <c r="S75" s="105"/>
    </row>
    <row r="76" spans="1:19" s="28" customFormat="1">
      <c r="A76" s="55">
        <f>IF(F76&lt;&gt;"",1+MAX($A$2:A75),"")</f>
        <v>46</v>
      </c>
      <c r="B76" s="75"/>
      <c r="C76" s="78"/>
      <c r="D76" s="51" t="s">
        <v>66</v>
      </c>
      <c r="E76" s="60">
        <v>2999.9832999119999</v>
      </c>
      <c r="F76" s="59">
        <v>0.1</v>
      </c>
      <c r="G76" s="64">
        <f t="shared" si="164"/>
        <v>3299.9816299032</v>
      </c>
      <c r="H76" s="58" t="s">
        <v>67</v>
      </c>
      <c r="I76" s="90">
        <v>1.7999999999999999E-2</v>
      </c>
      <c r="J76" s="91">
        <f t="shared" si="171"/>
        <v>59.399669338257603</v>
      </c>
      <c r="K76" s="92">
        <f>'LABOR SHEET'!C$13</f>
        <v>28</v>
      </c>
      <c r="L76" s="93">
        <f t="shared" si="172"/>
        <v>0.504</v>
      </c>
      <c r="M76" s="93">
        <f t="shared" si="173"/>
        <v>1663.19074147121</v>
      </c>
      <c r="N76" s="93">
        <v>3</v>
      </c>
      <c r="O76" s="93">
        <f t="shared" si="174"/>
        <v>9899.9448897096008</v>
      </c>
      <c r="P76" s="93">
        <f t="shared" si="175"/>
        <v>3.504</v>
      </c>
      <c r="Q76" s="112">
        <f t="shared" si="176"/>
        <v>11563.135631180799</v>
      </c>
      <c r="R76" s="105"/>
      <c r="S76" s="105"/>
    </row>
    <row r="77" spans="1:19" s="28" customFormat="1">
      <c r="A77" s="55" t="str">
        <f>IF(F77&lt;&gt;"",1+MAX($A$2:A76),"")</f>
        <v/>
      </c>
      <c r="B77" s="75"/>
      <c r="C77" s="78"/>
      <c r="D77" s="51"/>
      <c r="E77" s="60"/>
      <c r="F77" s="59"/>
      <c r="G77" s="60"/>
      <c r="H77" s="58"/>
      <c r="I77" s="90"/>
      <c r="J77" s="91"/>
      <c r="K77" s="92"/>
      <c r="L77" s="93"/>
      <c r="M77" s="93"/>
      <c r="N77" s="93"/>
      <c r="O77" s="93"/>
      <c r="P77" s="93"/>
      <c r="Q77" s="112"/>
      <c r="R77" s="105"/>
      <c r="S77" s="105"/>
    </row>
    <row r="78" spans="1:19" s="28" customFormat="1">
      <c r="A78" s="55">
        <f>IF(F78&lt;&gt;"",1+MAX($A$2:A77),"")</f>
        <v>47</v>
      </c>
      <c r="B78" s="75"/>
      <c r="C78" s="78"/>
      <c r="D78" s="51" t="s">
        <v>100</v>
      </c>
      <c r="E78" s="113">
        <v>0.24888888888888899</v>
      </c>
      <c r="F78" s="59">
        <v>0.1</v>
      </c>
      <c r="G78" s="64">
        <f t="shared" ref="G78:G80" si="177">(F78*E78)+E78</f>
        <v>0.27377777777777801</v>
      </c>
      <c r="H78" s="58" t="s">
        <v>63</v>
      </c>
      <c r="I78" s="90">
        <v>2.7</v>
      </c>
      <c r="J78" s="91">
        <f t="shared" ref="J78" si="178">+I78*G78</f>
        <v>0.73919999999999997</v>
      </c>
      <c r="K78" s="92">
        <f>'LABOR SHEET'!C$13</f>
        <v>28</v>
      </c>
      <c r="L78" s="93">
        <f t="shared" ref="L78" si="179">I78*K78</f>
        <v>75.599999999999994</v>
      </c>
      <c r="M78" s="93">
        <f t="shared" ref="M78" si="180">K78*J78</f>
        <v>20.697600000000001</v>
      </c>
      <c r="N78" s="93">
        <v>186</v>
      </c>
      <c r="O78" s="93">
        <f t="shared" ref="O78" si="181">N78*G78</f>
        <v>50.9226666666667</v>
      </c>
      <c r="P78" s="93">
        <f t="shared" ref="P78" si="182">(I78*K78)+N78</f>
        <v>261.60000000000002</v>
      </c>
      <c r="Q78" s="112">
        <f t="shared" ref="Q78" si="183">P78*G78</f>
        <v>71.620266666666694</v>
      </c>
      <c r="R78" s="105"/>
      <c r="S78" s="105"/>
    </row>
    <row r="79" spans="1:19" s="28" customFormat="1" ht="46.5">
      <c r="A79" s="55">
        <f>IF(F79&lt;&gt;"",1+MAX($A$2:A78),"")</f>
        <v>48</v>
      </c>
      <c r="B79" s="75"/>
      <c r="C79" s="78"/>
      <c r="D79" s="51" t="s">
        <v>101</v>
      </c>
      <c r="E79" s="60">
        <v>20.57536</v>
      </c>
      <c r="F79" s="59">
        <v>0.05</v>
      </c>
      <c r="G79" s="64">
        <f t="shared" si="177"/>
        <v>21.604127999999999</v>
      </c>
      <c r="H79" s="58" t="s">
        <v>65</v>
      </c>
      <c r="I79" s="90">
        <v>1.0999999999999999E-2</v>
      </c>
      <c r="J79" s="91">
        <f t="shared" ref="J79:J80" si="184">+I79*G79</f>
        <v>0.237645408</v>
      </c>
      <c r="K79" s="92">
        <f>'LABOR SHEET'!C$13</f>
        <v>28</v>
      </c>
      <c r="L79" s="93">
        <f t="shared" ref="L79:L80" si="185">I79*K79</f>
        <v>0.308</v>
      </c>
      <c r="M79" s="93">
        <f t="shared" ref="M79:M80" si="186">K79*J79</f>
        <v>6.6540714239999996</v>
      </c>
      <c r="N79" s="93">
        <v>1</v>
      </c>
      <c r="O79" s="93">
        <f t="shared" ref="O79:O80" si="187">N79*G79</f>
        <v>21.604127999999999</v>
      </c>
      <c r="P79" s="93">
        <f t="shared" ref="P79:P80" si="188">(I79*K79)+N79</f>
        <v>1.3080000000000001</v>
      </c>
      <c r="Q79" s="112">
        <f t="shared" ref="Q79:Q80" si="189">P79*G79</f>
        <v>28.258199424000001</v>
      </c>
      <c r="R79" s="105"/>
      <c r="S79" s="105"/>
    </row>
    <row r="80" spans="1:19" s="28" customFormat="1">
      <c r="A80" s="55">
        <f>IF(F80&lt;&gt;"",1+MAX($A$2:A79),"")</f>
        <v>49</v>
      </c>
      <c r="B80" s="75"/>
      <c r="C80" s="78"/>
      <c r="D80" s="51" t="s">
        <v>66</v>
      </c>
      <c r="E80" s="60">
        <v>82.507193599999994</v>
      </c>
      <c r="F80" s="59">
        <v>0.1</v>
      </c>
      <c r="G80" s="64">
        <f t="shared" si="177"/>
        <v>90.757912959999999</v>
      </c>
      <c r="H80" s="58" t="s">
        <v>67</v>
      </c>
      <c r="I80" s="90">
        <v>1.7999999999999999E-2</v>
      </c>
      <c r="J80" s="91">
        <f t="shared" si="184"/>
        <v>1.6336424332799999</v>
      </c>
      <c r="K80" s="92">
        <f>'LABOR SHEET'!C$13</f>
        <v>28</v>
      </c>
      <c r="L80" s="93">
        <f t="shared" si="185"/>
        <v>0.504</v>
      </c>
      <c r="M80" s="93">
        <f t="shared" si="186"/>
        <v>45.741988131840003</v>
      </c>
      <c r="N80" s="93">
        <v>3</v>
      </c>
      <c r="O80" s="93">
        <f t="shared" si="187"/>
        <v>272.27373888</v>
      </c>
      <c r="P80" s="93">
        <f t="shared" si="188"/>
        <v>3.504</v>
      </c>
      <c r="Q80" s="112">
        <f t="shared" si="189"/>
        <v>318.01572701184</v>
      </c>
      <c r="R80" s="105"/>
      <c r="S80" s="105"/>
    </row>
    <row r="81" spans="1:19" s="28" customFormat="1">
      <c r="A81" s="55" t="str">
        <f>IF(F81&lt;&gt;"",1+MAX($A$2:A80),"")</f>
        <v/>
      </c>
      <c r="B81" s="75"/>
      <c r="C81" s="78"/>
      <c r="D81" s="51"/>
      <c r="E81" s="60"/>
      <c r="F81" s="59"/>
      <c r="G81" s="60"/>
      <c r="H81" s="58"/>
      <c r="I81" s="90"/>
      <c r="J81" s="91"/>
      <c r="K81" s="92"/>
      <c r="L81" s="93"/>
      <c r="M81" s="93"/>
      <c r="N81" s="93"/>
      <c r="O81" s="93"/>
      <c r="P81" s="93"/>
      <c r="Q81" s="112"/>
      <c r="R81" s="105"/>
      <c r="S81" s="105"/>
    </row>
    <row r="82" spans="1:19" s="28" customFormat="1">
      <c r="A82" s="55">
        <f>IF(F82&lt;&gt;"",1+MAX($A$2:A81),"")</f>
        <v>50</v>
      </c>
      <c r="B82" s="75"/>
      <c r="C82" s="78"/>
      <c r="D82" s="51" t="s">
        <v>102</v>
      </c>
      <c r="E82" s="113">
        <v>0.24888888888888899</v>
      </c>
      <c r="F82" s="59">
        <v>0.1</v>
      </c>
      <c r="G82" s="64">
        <f t="shared" ref="G82:G84" si="190">(F82*E82)+E82</f>
        <v>0.27377777777777801</v>
      </c>
      <c r="H82" s="58" t="s">
        <v>63</v>
      </c>
      <c r="I82" s="90">
        <v>2.7</v>
      </c>
      <c r="J82" s="91">
        <f t="shared" ref="J82" si="191">+I82*G82</f>
        <v>0.73919999999999997</v>
      </c>
      <c r="K82" s="92">
        <f>'LABOR SHEET'!C$13</f>
        <v>28</v>
      </c>
      <c r="L82" s="93">
        <f t="shared" ref="L82" si="192">I82*K82</f>
        <v>75.599999999999994</v>
      </c>
      <c r="M82" s="93">
        <f t="shared" ref="M82" si="193">K82*J82</f>
        <v>20.697600000000001</v>
      </c>
      <c r="N82" s="93">
        <v>186</v>
      </c>
      <c r="O82" s="93">
        <f t="shared" ref="O82" si="194">N82*G82</f>
        <v>50.9226666666667</v>
      </c>
      <c r="P82" s="93">
        <f t="shared" ref="P82" si="195">(I82*K82)+N82</f>
        <v>261.60000000000002</v>
      </c>
      <c r="Q82" s="112">
        <f t="shared" ref="Q82" si="196">P82*G82</f>
        <v>71.620266666666694</v>
      </c>
      <c r="R82" s="105"/>
      <c r="S82" s="105"/>
    </row>
    <row r="83" spans="1:19" s="28" customFormat="1" ht="46.5">
      <c r="A83" s="55">
        <f>IF(F83&lt;&gt;"",1+MAX($A$2:A82),"")</f>
        <v>51</v>
      </c>
      <c r="B83" s="75"/>
      <c r="C83" s="78"/>
      <c r="D83" s="51" t="s">
        <v>103</v>
      </c>
      <c r="E83" s="60">
        <v>7.5086529259259303</v>
      </c>
      <c r="F83" s="59">
        <v>0.1</v>
      </c>
      <c r="G83" s="64">
        <f t="shared" si="190"/>
        <v>8.2595182185185205</v>
      </c>
      <c r="H83" s="58" t="s">
        <v>65</v>
      </c>
      <c r="I83" s="90">
        <v>1.0999999999999999E-2</v>
      </c>
      <c r="J83" s="91">
        <f t="shared" ref="J83:J84" si="197">+I83*G83</f>
        <v>9.0854700403703803E-2</v>
      </c>
      <c r="K83" s="92">
        <f>'LABOR SHEET'!C$13</f>
        <v>28</v>
      </c>
      <c r="L83" s="93">
        <f t="shared" ref="L83:L84" si="198">I83*K83</f>
        <v>0.308</v>
      </c>
      <c r="M83" s="93">
        <f t="shared" ref="M83:M84" si="199">K83*J83</f>
        <v>2.54393161130371</v>
      </c>
      <c r="N83" s="93">
        <v>1</v>
      </c>
      <c r="O83" s="93">
        <f t="shared" ref="O83:O84" si="200">N83*G83</f>
        <v>8.2595182185185205</v>
      </c>
      <c r="P83" s="93">
        <f t="shared" ref="P83:P84" si="201">(I83*K83)+N83</f>
        <v>1.3080000000000001</v>
      </c>
      <c r="Q83" s="112">
        <f t="shared" ref="Q83:Q84" si="202">P83*G83</f>
        <v>10.803449829822201</v>
      </c>
      <c r="R83" s="105"/>
      <c r="S83" s="105"/>
    </row>
    <row r="84" spans="1:19" s="28" customFormat="1">
      <c r="A84" s="55">
        <f>IF(F84&lt;&gt;"",1+MAX($A$2:A83),"")</f>
        <v>52</v>
      </c>
      <c r="B84" s="75"/>
      <c r="C84" s="78"/>
      <c r="D84" s="51" t="s">
        <v>66</v>
      </c>
      <c r="E84" s="60">
        <v>3439.309571712</v>
      </c>
      <c r="F84" s="59">
        <v>0.1</v>
      </c>
      <c r="G84" s="64">
        <f t="shared" si="190"/>
        <v>3783.2405288832001</v>
      </c>
      <c r="H84" s="58" t="s">
        <v>67</v>
      </c>
      <c r="I84" s="90">
        <v>1.7999999999999999E-2</v>
      </c>
      <c r="J84" s="91">
        <f t="shared" si="197"/>
        <v>68.098329519897604</v>
      </c>
      <c r="K84" s="92">
        <f>'LABOR SHEET'!C$13</f>
        <v>28</v>
      </c>
      <c r="L84" s="93">
        <f t="shared" si="198"/>
        <v>0.504</v>
      </c>
      <c r="M84" s="93">
        <f t="shared" si="199"/>
        <v>1906.7532265571299</v>
      </c>
      <c r="N84" s="93">
        <v>3</v>
      </c>
      <c r="O84" s="93">
        <f t="shared" si="200"/>
        <v>11349.721586649601</v>
      </c>
      <c r="P84" s="93">
        <f t="shared" si="201"/>
        <v>3.504</v>
      </c>
      <c r="Q84" s="112">
        <f t="shared" si="202"/>
        <v>13256.4748132067</v>
      </c>
      <c r="R84" s="105"/>
      <c r="S84" s="105"/>
    </row>
    <row r="85" spans="1:19" s="28" customFormat="1">
      <c r="A85" s="55" t="str">
        <f>IF(F85&lt;&gt;"",1+MAX($A$2:A84),"")</f>
        <v/>
      </c>
      <c r="B85" s="75"/>
      <c r="C85" s="83"/>
      <c r="D85" s="51"/>
      <c r="E85" s="84"/>
      <c r="F85" s="59"/>
      <c r="G85" s="60"/>
      <c r="H85" s="58"/>
      <c r="I85" s="90"/>
      <c r="J85" s="91"/>
      <c r="K85" s="92"/>
      <c r="L85" s="93"/>
      <c r="M85" s="93"/>
      <c r="N85" s="93"/>
      <c r="O85" s="93"/>
      <c r="P85" s="93"/>
      <c r="Q85" s="112"/>
      <c r="R85" s="105"/>
      <c r="S85" s="105"/>
    </row>
    <row r="86" spans="1:19" s="28" customFormat="1">
      <c r="A86" s="55" t="str">
        <f>IF(F86&lt;&gt;"",1+MAX($A$2:A85),"")</f>
        <v/>
      </c>
      <c r="B86" s="71"/>
      <c r="C86" s="66"/>
      <c r="D86" s="72" t="s">
        <v>104</v>
      </c>
      <c r="E86" s="73"/>
      <c r="F86" s="82"/>
      <c r="G86" s="60"/>
      <c r="H86" s="58"/>
      <c r="I86" s="99"/>
      <c r="J86" s="60"/>
      <c r="K86" s="100"/>
      <c r="L86" s="100"/>
      <c r="M86" s="100"/>
      <c r="N86" s="100"/>
      <c r="O86" s="100"/>
      <c r="P86" s="100"/>
      <c r="Q86" s="111"/>
      <c r="R86" s="105"/>
      <c r="S86" s="105"/>
    </row>
    <row r="87" spans="1:19" s="28" customFormat="1">
      <c r="A87" s="55">
        <f>IF(F87&lt;&gt;"",1+MAX($A$2:A86),"")</f>
        <v>53</v>
      </c>
      <c r="B87" s="75"/>
      <c r="C87" s="78"/>
      <c r="D87" s="51" t="s">
        <v>105</v>
      </c>
      <c r="E87" s="60">
        <v>441.01458888888902</v>
      </c>
      <c r="F87" s="59">
        <v>0</v>
      </c>
      <c r="G87" s="64">
        <f t="shared" ref="G87:G88" si="203">(F87*E87)+E87</f>
        <v>441.01458888888902</v>
      </c>
      <c r="H87" s="58" t="s">
        <v>63</v>
      </c>
      <c r="I87" s="90">
        <v>0.4</v>
      </c>
      <c r="J87" s="91">
        <f t="shared" ref="J87" si="204">+I87*G87</f>
        <v>176.405835555556</v>
      </c>
      <c r="K87" s="92">
        <f>'LABOR SHEET'!C$7</f>
        <v>28</v>
      </c>
      <c r="L87" s="93">
        <f t="shared" ref="L87" si="205">I87*K87</f>
        <v>11.2</v>
      </c>
      <c r="M87" s="93">
        <f t="shared" ref="M87" si="206">K87*J87</f>
        <v>4939.3633955555597</v>
      </c>
      <c r="N87" s="93">
        <v>5</v>
      </c>
      <c r="O87" s="93">
        <f t="shared" ref="O87" si="207">N87*G87</f>
        <v>2205.0729444444501</v>
      </c>
      <c r="P87" s="93">
        <f t="shared" ref="P87" si="208">(I87*K87)+N87</f>
        <v>16.2</v>
      </c>
      <c r="Q87" s="112">
        <f t="shared" ref="Q87" si="209">P87*G87</f>
        <v>7144.4363400000002</v>
      </c>
      <c r="R87" s="105"/>
      <c r="S87" s="105"/>
    </row>
    <row r="88" spans="1:19" s="28" customFormat="1">
      <c r="A88" s="55">
        <f>IF(F88&lt;&gt;"",1+MAX($A$2:A87),"")</f>
        <v>54</v>
      </c>
      <c r="B88" s="75"/>
      <c r="C88" s="78"/>
      <c r="D88" s="51" t="s">
        <v>106</v>
      </c>
      <c r="E88" s="60">
        <v>184.50743703703699</v>
      </c>
      <c r="F88" s="59">
        <v>0</v>
      </c>
      <c r="G88" s="64">
        <f t="shared" si="203"/>
        <v>184.50743703703699</v>
      </c>
      <c r="H88" s="58" t="s">
        <v>63</v>
      </c>
      <c r="I88" s="90">
        <v>0.36</v>
      </c>
      <c r="J88" s="91">
        <f t="shared" ref="J88" si="210">+I88*G88</f>
        <v>66.422677333333297</v>
      </c>
      <c r="K88" s="92">
        <f>'LABOR SHEET'!C$7</f>
        <v>28</v>
      </c>
      <c r="L88" s="93">
        <f t="shared" ref="L88" si="211">I88*K88</f>
        <v>10.08</v>
      </c>
      <c r="M88" s="93">
        <f t="shared" ref="M88" si="212">K88*J88</f>
        <v>1859.83496533333</v>
      </c>
      <c r="N88" s="93">
        <v>5</v>
      </c>
      <c r="O88" s="93">
        <f t="shared" ref="O88" si="213">N88*G88</f>
        <v>922.53718518518497</v>
      </c>
      <c r="P88" s="93">
        <f t="shared" ref="P88" si="214">(I88*K88)+N88</f>
        <v>15.08</v>
      </c>
      <c r="Q88" s="112">
        <f t="shared" ref="Q88" si="215">P88*G88</f>
        <v>2782.3721505185199</v>
      </c>
      <c r="R88" s="105"/>
      <c r="S88" s="105"/>
    </row>
    <row r="89" spans="1:19" s="28" customFormat="1">
      <c r="A89" s="55" t="str">
        <f>IF(F89&lt;&gt;"",1+MAX($A$2:A88),"")</f>
        <v/>
      </c>
      <c r="B89" s="75"/>
      <c r="C89" s="78"/>
      <c r="D89" s="114"/>
      <c r="E89" s="64"/>
      <c r="F89" s="63"/>
      <c r="G89" s="64"/>
      <c r="H89" s="62"/>
      <c r="I89" s="94"/>
      <c r="J89" s="129"/>
      <c r="K89" s="129"/>
      <c r="L89" s="97"/>
      <c r="M89" s="97"/>
      <c r="N89" s="97"/>
      <c r="O89" s="97"/>
      <c r="P89" s="97"/>
      <c r="Q89" s="137"/>
      <c r="R89" s="105"/>
      <c r="S89" s="105"/>
    </row>
    <row r="90" spans="1:19" s="29" customFormat="1">
      <c r="A90" s="55" t="str">
        <f>IF(F90&lt;&gt;"",1+MAX($A$2:A89),"")</f>
        <v/>
      </c>
      <c r="B90" s="71"/>
      <c r="C90" s="66"/>
      <c r="D90" s="67" t="s">
        <v>58</v>
      </c>
      <c r="E90" s="68"/>
      <c r="F90" s="68"/>
      <c r="G90" s="68"/>
      <c r="H90" s="68"/>
      <c r="I90" s="68"/>
      <c r="J90" s="130"/>
      <c r="K90" s="130"/>
      <c r="L90" s="131"/>
      <c r="M90" s="132"/>
      <c r="N90" s="131"/>
      <c r="O90" s="98"/>
      <c r="P90" s="98"/>
      <c r="Q90" s="106">
        <f>SUM(Q20:Q88)</f>
        <v>572212.75381696201</v>
      </c>
      <c r="R90" s="107"/>
    </row>
    <row r="91" spans="1:19" s="28" customFormat="1">
      <c r="A91" s="55" t="str">
        <f>IF(F91&lt;&gt;"",1+MAX($A$2:A90),"")</f>
        <v/>
      </c>
      <c r="B91" s="115"/>
      <c r="C91" s="115"/>
      <c r="D91" s="115"/>
      <c r="E91" s="116"/>
      <c r="F91" s="117"/>
      <c r="G91" s="116"/>
      <c r="H91" s="118"/>
      <c r="I91" s="133"/>
      <c r="J91" s="116"/>
      <c r="K91" s="134"/>
      <c r="L91" s="134"/>
      <c r="M91" s="134"/>
      <c r="N91" s="134"/>
      <c r="O91" s="134"/>
      <c r="P91" s="134"/>
      <c r="Q91" s="138"/>
      <c r="R91" s="105"/>
      <c r="S91" s="105"/>
    </row>
    <row r="92" spans="1:19" s="30" customFormat="1">
      <c r="A92" s="45" t="str">
        <f>IF(F92&lt;&gt;"",1+MAX($A$2:A91),"")</f>
        <v/>
      </c>
      <c r="B92" s="46"/>
      <c r="C92" s="46">
        <v>4</v>
      </c>
      <c r="D92" s="48" t="s">
        <v>107</v>
      </c>
      <c r="E92" s="46"/>
      <c r="F92" s="46"/>
      <c r="G92" s="46"/>
      <c r="H92" s="46"/>
      <c r="I92" s="46"/>
      <c r="J92" s="46"/>
      <c r="K92" s="46"/>
      <c r="L92" s="46"/>
      <c r="M92" s="46"/>
      <c r="N92" s="46"/>
      <c r="O92" s="46"/>
      <c r="P92" s="46"/>
      <c r="Q92" s="109"/>
      <c r="S92" s="110"/>
    </row>
    <row r="93" spans="1:19" s="28" customFormat="1">
      <c r="A93" s="55" t="str">
        <f>IF(F93&lt;&gt;"",1+MAX($A$2:A92),"")</f>
        <v/>
      </c>
      <c r="B93" s="119"/>
      <c r="C93" s="120"/>
      <c r="D93" s="121" t="s">
        <v>108</v>
      </c>
      <c r="E93" s="122"/>
      <c r="F93" s="123"/>
      <c r="G93" s="54"/>
      <c r="H93" s="52"/>
      <c r="I93" s="135"/>
      <c r="J93" s="54"/>
      <c r="K93" s="136"/>
      <c r="L93" s="136"/>
      <c r="M93" s="136"/>
      <c r="N93" s="136"/>
      <c r="O93" s="136"/>
      <c r="P93" s="136"/>
      <c r="Q93" s="112"/>
      <c r="R93" s="105"/>
      <c r="S93" s="105"/>
    </row>
    <row r="94" spans="1:19" s="28" customFormat="1">
      <c r="A94" s="55">
        <f>IF(F94&lt;&gt;"",1+MAX($A$2:A93),"")</f>
        <v>55</v>
      </c>
      <c r="B94" s="75"/>
      <c r="C94" s="56"/>
      <c r="D94" s="51" t="s">
        <v>109</v>
      </c>
      <c r="E94" s="116">
        <v>912.1</v>
      </c>
      <c r="F94" s="124">
        <v>0.1</v>
      </c>
      <c r="G94" s="64">
        <f t="shared" ref="G94:G96" si="216">(F94*E94)+E94</f>
        <v>1003.31</v>
      </c>
      <c r="H94" s="125" t="s">
        <v>67</v>
      </c>
      <c r="I94" s="90">
        <v>0.128</v>
      </c>
      <c r="J94" s="91">
        <f t="shared" ref="J94" si="217">+I94*G94</f>
        <v>128.42367999999999</v>
      </c>
      <c r="K94" s="92">
        <f>'LABOR SHEET'!C$12</f>
        <v>28</v>
      </c>
      <c r="L94" s="93">
        <f t="shared" ref="L94" si="218">I94*K94</f>
        <v>3.5840000000000001</v>
      </c>
      <c r="M94" s="93">
        <f t="shared" ref="M94" si="219">K94*J94</f>
        <v>3595.8630400000002</v>
      </c>
      <c r="N94" s="93">
        <v>12.5</v>
      </c>
      <c r="O94" s="93">
        <f t="shared" ref="O94" si="220">N94*G94</f>
        <v>12541.375</v>
      </c>
      <c r="P94" s="93">
        <f t="shared" ref="P94" si="221">(I94*K94)+N94</f>
        <v>16.084</v>
      </c>
      <c r="Q94" s="112">
        <f t="shared" ref="Q94" si="222">P94*G94</f>
        <v>16137.23804</v>
      </c>
      <c r="R94" s="105"/>
      <c r="S94" s="105"/>
    </row>
    <row r="95" spans="1:19" s="28" customFormat="1">
      <c r="A95" s="55">
        <f>IF(F95&lt;&gt;"",1+MAX($A$2:A94),"")</f>
        <v>56</v>
      </c>
      <c r="B95" s="75"/>
      <c r="C95" s="56"/>
      <c r="D95" s="51" t="s">
        <v>110</v>
      </c>
      <c r="E95" s="60">
        <v>84.904945650000002</v>
      </c>
      <c r="F95" s="124">
        <v>0.05</v>
      </c>
      <c r="G95" s="64">
        <f t="shared" si="216"/>
        <v>89.150192932500005</v>
      </c>
      <c r="H95" s="125" t="s">
        <v>65</v>
      </c>
      <c r="I95" s="90">
        <v>1.0999999999999999E-2</v>
      </c>
      <c r="J95" s="91">
        <f t="shared" ref="J95:J96" si="223">+I95*G95</f>
        <v>0.98065212225749998</v>
      </c>
      <c r="K95" s="92">
        <f>'LABOR SHEET'!C$12</f>
        <v>28</v>
      </c>
      <c r="L95" s="93">
        <f t="shared" ref="L95:L96" si="224">I95*K95</f>
        <v>0.308</v>
      </c>
      <c r="M95" s="93">
        <f t="shared" ref="M95:M96" si="225">K95*J95</f>
        <v>27.458259423209999</v>
      </c>
      <c r="N95" s="93">
        <v>1</v>
      </c>
      <c r="O95" s="93">
        <f t="shared" ref="O95:O96" si="226">N95*G95</f>
        <v>89.150192932500005</v>
      </c>
      <c r="P95" s="93">
        <f t="shared" ref="P95:P96" si="227">(I95*K95)+N95</f>
        <v>1.3080000000000001</v>
      </c>
      <c r="Q95" s="112">
        <f t="shared" ref="Q95:Q96" si="228">P95*G95</f>
        <v>116.60845235571</v>
      </c>
      <c r="R95" s="105"/>
      <c r="S95" s="105"/>
    </row>
    <row r="96" spans="1:19" s="28" customFormat="1">
      <c r="A96" s="55">
        <f>IF(F96&lt;&gt;"",1+MAX($A$2:A95),"")</f>
        <v>57</v>
      </c>
      <c r="B96" s="75"/>
      <c r="C96" s="126"/>
      <c r="D96" s="51" t="s">
        <v>111</v>
      </c>
      <c r="E96" s="60">
        <v>5.9286500000000002</v>
      </c>
      <c r="F96" s="59">
        <v>0.1</v>
      </c>
      <c r="G96" s="64">
        <f t="shared" si="216"/>
        <v>6.521515</v>
      </c>
      <c r="H96" s="125" t="s">
        <v>63</v>
      </c>
      <c r="I96" s="90">
        <v>1.7</v>
      </c>
      <c r="J96" s="91">
        <f t="shared" si="223"/>
        <v>11.0865755</v>
      </c>
      <c r="K96" s="92">
        <f>'LABOR SHEET'!C$12</f>
        <v>28</v>
      </c>
      <c r="L96" s="93">
        <f t="shared" si="224"/>
        <v>47.6</v>
      </c>
      <c r="M96" s="93">
        <f t="shared" si="225"/>
        <v>310.42411399999997</v>
      </c>
      <c r="N96" s="93">
        <v>239.5</v>
      </c>
      <c r="O96" s="93">
        <f t="shared" si="226"/>
        <v>1561.9028424999999</v>
      </c>
      <c r="P96" s="93">
        <f t="shared" si="227"/>
        <v>287.10000000000002</v>
      </c>
      <c r="Q96" s="112">
        <f t="shared" si="228"/>
        <v>1872.3269565000001</v>
      </c>
      <c r="R96" s="105"/>
      <c r="S96" s="105"/>
    </row>
    <row r="97" spans="1:19" s="28" customFormat="1">
      <c r="A97" s="55" t="str">
        <f>IF(F97&lt;&gt;"",1+MAX($A$2:A96),"")</f>
        <v/>
      </c>
      <c r="B97" s="75"/>
      <c r="C97" s="126"/>
      <c r="D97" s="127"/>
      <c r="E97" s="60"/>
      <c r="F97" s="59"/>
      <c r="G97" s="60"/>
      <c r="H97" s="58"/>
      <c r="I97" s="90"/>
      <c r="J97" s="91"/>
      <c r="K97" s="92"/>
      <c r="L97" s="93"/>
      <c r="M97" s="93"/>
      <c r="N97" s="93"/>
      <c r="O97" s="93"/>
      <c r="P97" s="93"/>
      <c r="Q97" s="111"/>
      <c r="R97" s="105"/>
      <c r="S97" s="105"/>
    </row>
    <row r="98" spans="1:19" s="29" customFormat="1">
      <c r="A98" s="55" t="str">
        <f>IF(F98&lt;&gt;"",1+MAX($A$2:A97),"")</f>
        <v/>
      </c>
      <c r="B98" s="71"/>
      <c r="C98" s="66"/>
      <c r="D98" s="67" t="s">
        <v>58</v>
      </c>
      <c r="E98" s="68"/>
      <c r="F98" s="68"/>
      <c r="G98" s="68"/>
      <c r="H98" s="68"/>
      <c r="I98" s="68"/>
      <c r="J98" s="130"/>
      <c r="K98" s="130"/>
      <c r="L98" s="131"/>
      <c r="M98" s="132"/>
      <c r="N98" s="131"/>
      <c r="O98" s="98"/>
      <c r="P98" s="98"/>
      <c r="Q98" s="106">
        <f>SUM(Q94:Q96)</f>
        <v>18126.173448855701</v>
      </c>
      <c r="R98" s="107"/>
    </row>
    <row r="99" spans="1:19" s="29" customFormat="1">
      <c r="A99" s="55" t="str">
        <f>IF(F99&lt;&gt;"",1+MAX($A$2:A98),"")</f>
        <v/>
      </c>
      <c r="B99" s="69"/>
      <c r="C99" s="69"/>
      <c r="D99" s="69"/>
      <c r="E99" s="69"/>
      <c r="F99" s="69"/>
      <c r="G99" s="69"/>
      <c r="H99" s="69"/>
      <c r="I99" s="69"/>
      <c r="J99" s="69"/>
      <c r="K99" s="69"/>
      <c r="L99" s="69"/>
      <c r="M99" s="69"/>
      <c r="N99" s="69"/>
      <c r="O99" s="69"/>
      <c r="P99" s="69"/>
      <c r="Q99" s="139"/>
      <c r="R99" s="107"/>
    </row>
    <row r="100" spans="1:19" s="30" customFormat="1">
      <c r="A100" s="45" t="str">
        <f>IF(F100&lt;&gt;"",1+MAX($A$2:A99),"")</f>
        <v/>
      </c>
      <c r="B100" s="46"/>
      <c r="C100" s="47">
        <v>5</v>
      </c>
      <c r="D100" s="70" t="s">
        <v>112</v>
      </c>
      <c r="E100" s="46"/>
      <c r="F100" s="46"/>
      <c r="G100" s="46"/>
      <c r="H100" s="46"/>
      <c r="I100" s="46"/>
      <c r="J100" s="46"/>
      <c r="K100" s="46"/>
      <c r="L100" s="46"/>
      <c r="M100" s="46"/>
      <c r="N100" s="46"/>
      <c r="O100" s="46"/>
      <c r="P100" s="46"/>
      <c r="Q100" s="109"/>
      <c r="S100" s="110"/>
    </row>
    <row r="101" spans="1:19" s="28" customFormat="1">
      <c r="A101" s="55" t="str">
        <f>IF(F101&lt;&gt;"",1+MAX($A$2:A100),"")</f>
        <v/>
      </c>
      <c r="B101" s="71"/>
      <c r="C101" s="66"/>
      <c r="D101" s="128" t="s">
        <v>113</v>
      </c>
      <c r="E101" s="73"/>
      <c r="F101" s="82"/>
      <c r="G101" s="60"/>
      <c r="H101" s="58"/>
      <c r="I101" s="99"/>
      <c r="J101" s="60"/>
      <c r="K101" s="100"/>
      <c r="L101" s="100"/>
      <c r="M101" s="100"/>
      <c r="N101" s="100"/>
      <c r="O101" s="100"/>
      <c r="P101" s="100"/>
      <c r="Q101" s="111"/>
      <c r="R101" s="105"/>
      <c r="S101" s="105"/>
    </row>
    <row r="102" spans="1:19" s="28" customFormat="1">
      <c r="A102" s="55">
        <f>IF(F102&lt;&gt;"",1+MAX($A$2:A101),"")</f>
        <v>58</v>
      </c>
      <c r="B102" s="75"/>
      <c r="C102" s="78"/>
      <c r="D102" s="51" t="s">
        <v>114</v>
      </c>
      <c r="E102" s="60">
        <v>1943.2</v>
      </c>
      <c r="F102" s="59">
        <v>0.05</v>
      </c>
      <c r="G102" s="64">
        <f t="shared" ref="G102:G104" si="229">(F102*E102)+E102</f>
        <v>2040.36</v>
      </c>
      <c r="H102" s="125" t="s">
        <v>65</v>
      </c>
      <c r="I102" s="90">
        <v>5.5E-2</v>
      </c>
      <c r="J102" s="91">
        <f t="shared" ref="J102" si="230">+I102*G102</f>
        <v>112.21980000000001</v>
      </c>
      <c r="K102" s="92">
        <f>'LABOR SHEET'!C$14</f>
        <v>47</v>
      </c>
      <c r="L102" s="93">
        <f t="shared" ref="L102" si="231">I102*K102</f>
        <v>2.585</v>
      </c>
      <c r="M102" s="93">
        <f t="shared" ref="M102" si="232">K102*J102</f>
        <v>5274.3306000000002</v>
      </c>
      <c r="N102" s="93">
        <v>1.4</v>
      </c>
      <c r="O102" s="93">
        <f t="shared" ref="O102" si="233">N102*G102</f>
        <v>2856.5039999999999</v>
      </c>
      <c r="P102" s="93">
        <f t="shared" ref="P102" si="234">(I102*K102)+N102</f>
        <v>3.9849999999999999</v>
      </c>
      <c r="Q102" s="112">
        <f t="shared" ref="Q102" si="235">P102*G102</f>
        <v>8130.8346000000001</v>
      </c>
      <c r="R102" s="105"/>
      <c r="S102" s="105"/>
    </row>
    <row r="103" spans="1:19" s="28" customFormat="1">
      <c r="A103" s="55">
        <f>IF(F103&lt;&gt;"",1+MAX($A$2:A102),"")</f>
        <v>59</v>
      </c>
      <c r="B103" s="75"/>
      <c r="C103" s="78"/>
      <c r="D103" s="51" t="s">
        <v>115</v>
      </c>
      <c r="E103" s="60">
        <v>1509.08</v>
      </c>
      <c r="F103" s="59">
        <v>0.05</v>
      </c>
      <c r="G103" s="64">
        <f t="shared" si="229"/>
        <v>1584.5340000000001</v>
      </c>
      <c r="H103" s="125" t="s">
        <v>65</v>
      </c>
      <c r="I103" s="90">
        <v>5.5E-2</v>
      </c>
      <c r="J103" s="91">
        <f t="shared" ref="J103:J104" si="236">+I103*G103</f>
        <v>87.149370000000005</v>
      </c>
      <c r="K103" s="92">
        <f>'LABOR SHEET'!C$14</f>
        <v>47</v>
      </c>
      <c r="L103" s="93">
        <f t="shared" ref="L103:L104" si="237">I103*K103</f>
        <v>2.585</v>
      </c>
      <c r="M103" s="93">
        <f t="shared" ref="M103:M104" si="238">K103*J103</f>
        <v>4096.0203899999997</v>
      </c>
      <c r="N103" s="93">
        <v>1.4</v>
      </c>
      <c r="O103" s="93">
        <f t="shared" ref="O103:O104" si="239">N103*G103</f>
        <v>2218.3476000000001</v>
      </c>
      <c r="P103" s="93">
        <f t="shared" ref="P103:P104" si="240">(I103*K103)+N103</f>
        <v>3.9849999999999999</v>
      </c>
      <c r="Q103" s="112">
        <f t="shared" ref="Q103:Q104" si="241">P103*G103</f>
        <v>6314.3679899999997</v>
      </c>
      <c r="R103" s="105"/>
      <c r="S103" s="105"/>
    </row>
    <row r="104" spans="1:19" s="28" customFormat="1">
      <c r="A104" s="55">
        <f>IF(F104&lt;&gt;"",1+MAX($A$2:A103),"")</f>
        <v>60</v>
      </c>
      <c r="B104" s="75"/>
      <c r="C104" s="78"/>
      <c r="D104" s="51" t="s">
        <v>116</v>
      </c>
      <c r="E104" s="60">
        <v>730.74</v>
      </c>
      <c r="F104" s="59">
        <v>0.05</v>
      </c>
      <c r="G104" s="64">
        <f t="shared" si="229"/>
        <v>767.27700000000004</v>
      </c>
      <c r="H104" s="125" t="s">
        <v>65</v>
      </c>
      <c r="I104" s="90">
        <v>5.5E-2</v>
      </c>
      <c r="J104" s="91">
        <f t="shared" si="236"/>
        <v>42.200234999999999</v>
      </c>
      <c r="K104" s="92">
        <f>'LABOR SHEET'!C$14</f>
        <v>47</v>
      </c>
      <c r="L104" s="93">
        <f t="shared" si="237"/>
        <v>2.585</v>
      </c>
      <c r="M104" s="93">
        <f t="shared" si="238"/>
        <v>1983.4110450000001</v>
      </c>
      <c r="N104" s="93">
        <v>1.4</v>
      </c>
      <c r="O104" s="93">
        <f t="shared" si="239"/>
        <v>1074.1877999999999</v>
      </c>
      <c r="P104" s="93">
        <f t="shared" si="240"/>
        <v>3.9849999999999999</v>
      </c>
      <c r="Q104" s="112">
        <f t="shared" si="241"/>
        <v>3057.598845</v>
      </c>
      <c r="R104" s="105"/>
      <c r="S104" s="105"/>
    </row>
    <row r="105" spans="1:19" s="28" customFormat="1">
      <c r="A105" s="55" t="str">
        <f>IF(F105&lt;&gt;"",1+MAX($A$2:A104),"")</f>
        <v/>
      </c>
      <c r="B105" s="75"/>
      <c r="C105" s="83"/>
      <c r="D105" s="51"/>
      <c r="E105" s="84"/>
      <c r="F105" s="59"/>
      <c r="G105" s="60"/>
      <c r="H105" s="58"/>
      <c r="I105" s="90"/>
      <c r="J105" s="91"/>
      <c r="K105" s="92"/>
      <c r="L105" s="93"/>
      <c r="M105" s="93"/>
      <c r="N105" s="93"/>
      <c r="O105" s="93"/>
      <c r="P105" s="93"/>
      <c r="Q105" s="112"/>
      <c r="R105" s="105"/>
      <c r="S105" s="105"/>
    </row>
    <row r="106" spans="1:19" s="28" customFormat="1">
      <c r="A106" s="55" t="str">
        <f>IF(F106&lt;&gt;"",1+MAX($A$2:A105),"")</f>
        <v/>
      </c>
      <c r="B106" s="71"/>
      <c r="C106" s="66"/>
      <c r="D106" s="128" t="s">
        <v>117</v>
      </c>
      <c r="E106" s="73"/>
      <c r="F106" s="82"/>
      <c r="G106" s="60"/>
      <c r="H106" s="58"/>
      <c r="I106" s="99"/>
      <c r="J106" s="60"/>
      <c r="K106" s="100"/>
      <c r="L106" s="100"/>
      <c r="M106" s="100"/>
      <c r="N106" s="100"/>
      <c r="O106" s="100"/>
      <c r="P106" s="100"/>
      <c r="Q106" s="111"/>
      <c r="R106" s="105"/>
      <c r="S106" s="105"/>
    </row>
    <row r="107" spans="1:19" s="28" customFormat="1">
      <c r="A107" s="55">
        <f>IF(F107&lt;&gt;"",1+MAX($A$2:A106),"")</f>
        <v>61</v>
      </c>
      <c r="B107" s="75"/>
      <c r="C107" s="78"/>
      <c r="D107" s="51" t="s">
        <v>118</v>
      </c>
      <c r="E107" s="60">
        <v>214.55</v>
      </c>
      <c r="F107" s="59">
        <v>0.05</v>
      </c>
      <c r="G107" s="64">
        <f t="shared" ref="G107:G109" si="242">(F107*E107)+E107</f>
        <v>225.2775</v>
      </c>
      <c r="H107" s="58" t="s">
        <v>119</v>
      </c>
      <c r="I107" s="90">
        <v>0.1</v>
      </c>
      <c r="J107" s="91">
        <f t="shared" ref="J107:J109" si="243">+I107*G107</f>
        <v>22.527750000000001</v>
      </c>
      <c r="K107" s="92">
        <f>'LABOR SHEET'!C$14</f>
        <v>47</v>
      </c>
      <c r="L107" s="93">
        <f t="shared" ref="L107:L109" si="244">I107*K107</f>
        <v>4.7</v>
      </c>
      <c r="M107" s="93">
        <f t="shared" ref="M107:M109" si="245">K107*J107</f>
        <v>1058.8042499999999</v>
      </c>
      <c r="N107" s="93">
        <f>166.49/10</f>
        <v>16.649000000000001</v>
      </c>
      <c r="O107" s="93">
        <f t="shared" ref="O107:O109" si="246">N107*G107</f>
        <v>3750.6450974999998</v>
      </c>
      <c r="P107" s="93">
        <f t="shared" ref="P107:P109" si="247">(I107*K107)+N107</f>
        <v>21.349</v>
      </c>
      <c r="Q107" s="112">
        <f t="shared" ref="Q107:Q109" si="248">P107*G107</f>
        <v>4809.4493474999999</v>
      </c>
      <c r="R107" s="105"/>
      <c r="S107" s="105"/>
    </row>
    <row r="108" spans="1:19" s="28" customFormat="1">
      <c r="A108" s="55">
        <f>IF(F108&lt;&gt;"",1+MAX($A$2:A107),"")</f>
        <v>62</v>
      </c>
      <c r="B108" s="75"/>
      <c r="C108" s="78"/>
      <c r="D108" s="51" t="s">
        <v>120</v>
      </c>
      <c r="E108" s="60">
        <v>130.05000000000001</v>
      </c>
      <c r="F108" s="59">
        <v>0.05</v>
      </c>
      <c r="G108" s="64">
        <f t="shared" si="242"/>
        <v>136.55250000000001</v>
      </c>
      <c r="H108" s="58" t="s">
        <v>119</v>
      </c>
      <c r="I108" s="90">
        <v>7.6999999999999999E-2</v>
      </c>
      <c r="J108" s="91">
        <f t="shared" si="243"/>
        <v>10.514542499999999</v>
      </c>
      <c r="K108" s="92">
        <f>'LABOR SHEET'!C$14</f>
        <v>47</v>
      </c>
      <c r="L108" s="93">
        <f t="shared" si="244"/>
        <v>3.6190000000000002</v>
      </c>
      <c r="M108" s="93">
        <f t="shared" si="245"/>
        <v>494.18349749999999</v>
      </c>
      <c r="N108" s="93">
        <f>113.65/10</f>
        <v>11.365</v>
      </c>
      <c r="O108" s="93">
        <f t="shared" si="246"/>
        <v>1551.9191625000001</v>
      </c>
      <c r="P108" s="93">
        <f t="shared" si="247"/>
        <v>14.984</v>
      </c>
      <c r="Q108" s="112">
        <f t="shared" si="248"/>
        <v>2046.10266</v>
      </c>
      <c r="R108" s="105"/>
      <c r="S108" s="105"/>
    </row>
    <row r="109" spans="1:19" s="28" customFormat="1">
      <c r="A109" s="55">
        <f>IF(F109&lt;&gt;"",1+MAX($A$2:A108),"")</f>
        <v>63</v>
      </c>
      <c r="B109" s="75"/>
      <c r="C109" s="78"/>
      <c r="D109" s="51" t="s">
        <v>121</v>
      </c>
      <c r="E109" s="60">
        <v>190.13</v>
      </c>
      <c r="F109" s="59">
        <v>0.05</v>
      </c>
      <c r="G109" s="64">
        <f t="shared" si="242"/>
        <v>199.63650000000001</v>
      </c>
      <c r="H109" s="58" t="s">
        <v>119</v>
      </c>
      <c r="I109" s="90">
        <v>8.5999999999999993E-2</v>
      </c>
      <c r="J109" s="91">
        <f t="shared" si="243"/>
        <v>17.168738999999999</v>
      </c>
      <c r="K109" s="92">
        <f>'LABOR SHEET'!C$14</f>
        <v>47</v>
      </c>
      <c r="L109" s="93">
        <f t="shared" si="244"/>
        <v>4.0419999999999998</v>
      </c>
      <c r="M109" s="93">
        <f t="shared" si="245"/>
        <v>806.93073300000003</v>
      </c>
      <c r="N109" s="93">
        <f>131.09/10</f>
        <v>13.109</v>
      </c>
      <c r="O109" s="93">
        <f t="shared" si="246"/>
        <v>2617.0348785000001</v>
      </c>
      <c r="P109" s="93">
        <f t="shared" si="247"/>
        <v>17.151</v>
      </c>
      <c r="Q109" s="112">
        <f t="shared" si="248"/>
        <v>3423.9656114999998</v>
      </c>
      <c r="R109" s="105"/>
      <c r="S109" s="105"/>
    </row>
    <row r="110" spans="1:19" s="28" customFormat="1">
      <c r="A110" s="55" t="str">
        <f>IF(F110&lt;&gt;"",1+MAX($A$2:A109),"")</f>
        <v/>
      </c>
      <c r="B110" s="75"/>
      <c r="C110" s="83"/>
      <c r="D110" s="51"/>
      <c r="E110" s="84"/>
      <c r="F110" s="59"/>
      <c r="G110" s="60"/>
      <c r="H110" s="58"/>
      <c r="I110" s="90"/>
      <c r="J110" s="91"/>
      <c r="K110" s="92"/>
      <c r="L110" s="93"/>
      <c r="M110" s="93"/>
      <c r="N110" s="93"/>
      <c r="O110" s="93"/>
      <c r="P110" s="93"/>
      <c r="Q110" s="112"/>
      <c r="R110" s="105"/>
      <c r="S110" s="105"/>
    </row>
    <row r="111" spans="1:19" s="28" customFormat="1">
      <c r="A111" s="55" t="str">
        <f>IF(F111&lt;&gt;"",1+MAX($A$2:A110),"")</f>
        <v/>
      </c>
      <c r="B111" s="71"/>
      <c r="C111" s="66"/>
      <c r="D111" s="128" t="s">
        <v>122</v>
      </c>
      <c r="E111" s="73"/>
      <c r="F111" s="82"/>
      <c r="G111" s="60"/>
      <c r="H111" s="58"/>
      <c r="I111" s="99"/>
      <c r="J111" s="60"/>
      <c r="K111" s="100"/>
      <c r="L111" s="100"/>
      <c r="M111" s="100"/>
      <c r="N111" s="100"/>
      <c r="O111" s="100"/>
      <c r="P111" s="100"/>
      <c r="Q111" s="111"/>
      <c r="R111" s="105"/>
      <c r="S111" s="105"/>
    </row>
    <row r="112" spans="1:19" s="28" customFormat="1">
      <c r="A112" s="55">
        <f>IF(F112&lt;&gt;"",1+MAX($A$2:A111),"")</f>
        <v>64</v>
      </c>
      <c r="B112" s="75"/>
      <c r="C112" s="78"/>
      <c r="D112" s="51" t="s">
        <v>123</v>
      </c>
      <c r="E112" s="60">
        <v>8</v>
      </c>
      <c r="F112" s="59">
        <v>0</v>
      </c>
      <c r="G112" s="64">
        <f t="shared" ref="G112:G113" si="249">(F112*E112)+E112</f>
        <v>8</v>
      </c>
      <c r="H112" s="58" t="s">
        <v>124</v>
      </c>
      <c r="I112" s="90">
        <f>0.2*11.5</f>
        <v>2.2999999999999998</v>
      </c>
      <c r="J112" s="91">
        <f t="shared" ref="J112:J113" si="250">+I112*G112</f>
        <v>18.399999999999999</v>
      </c>
      <c r="K112" s="92">
        <f>'LABOR SHEET'!C$14</f>
        <v>47</v>
      </c>
      <c r="L112" s="93">
        <f t="shared" ref="L112:L113" si="251">I112*K112</f>
        <v>108.1</v>
      </c>
      <c r="M112" s="93">
        <f t="shared" ref="M112:M113" si="252">K112*J112</f>
        <v>864.8</v>
      </c>
      <c r="N112" s="93">
        <f>81.54/3*11.5</f>
        <v>312.57</v>
      </c>
      <c r="O112" s="93">
        <f t="shared" ref="O112:O113" si="253">N112*G112</f>
        <v>2500.56</v>
      </c>
      <c r="P112" s="93">
        <f t="shared" ref="P112:P113" si="254">(I112*K112)+N112</f>
        <v>420.67</v>
      </c>
      <c r="Q112" s="112">
        <f t="shared" ref="Q112:Q113" si="255">P112*G112</f>
        <v>3365.36</v>
      </c>
      <c r="R112" s="105"/>
      <c r="S112" s="105"/>
    </row>
    <row r="113" spans="1:19" s="28" customFormat="1">
      <c r="A113" s="55">
        <f>IF(F113&lt;&gt;"",1+MAX($A$2:A112),"")</f>
        <v>65</v>
      </c>
      <c r="B113" s="75"/>
      <c r="C113" s="78"/>
      <c r="D113" s="51" t="s">
        <v>125</v>
      </c>
      <c r="E113" s="60">
        <v>4</v>
      </c>
      <c r="F113" s="59">
        <v>0</v>
      </c>
      <c r="G113" s="64">
        <f t="shared" si="249"/>
        <v>4</v>
      </c>
      <c r="H113" s="58" t="s">
        <v>124</v>
      </c>
      <c r="I113" s="90">
        <f>0.26*11.5</f>
        <v>2.99</v>
      </c>
      <c r="J113" s="91">
        <f t="shared" si="250"/>
        <v>11.96</v>
      </c>
      <c r="K113" s="92">
        <f>'LABOR SHEET'!C$14</f>
        <v>47</v>
      </c>
      <c r="L113" s="93">
        <f t="shared" si="251"/>
        <v>140.53</v>
      </c>
      <c r="M113" s="93">
        <f t="shared" si="252"/>
        <v>562.12</v>
      </c>
      <c r="N113" s="93">
        <f>113.46/3*11.5</f>
        <v>434.93</v>
      </c>
      <c r="O113" s="93">
        <f t="shared" si="253"/>
        <v>1739.72</v>
      </c>
      <c r="P113" s="93">
        <f t="shared" si="254"/>
        <v>575.46</v>
      </c>
      <c r="Q113" s="112">
        <f t="shared" si="255"/>
        <v>2301.84</v>
      </c>
      <c r="R113" s="105"/>
      <c r="S113" s="105"/>
    </row>
    <row r="114" spans="1:19" s="28" customFormat="1">
      <c r="A114" s="55" t="str">
        <f>IF(F114&lt;&gt;"",1+MAX($A$2:A113),"")</f>
        <v/>
      </c>
      <c r="B114" s="75"/>
      <c r="C114" s="83"/>
      <c r="D114" s="51"/>
      <c r="E114" s="84"/>
      <c r="F114" s="59"/>
      <c r="G114" s="60"/>
      <c r="H114" s="58"/>
      <c r="I114" s="90"/>
      <c r="J114" s="91"/>
      <c r="K114" s="92"/>
      <c r="L114" s="93"/>
      <c r="M114" s="93"/>
      <c r="N114" s="93"/>
      <c r="O114" s="93"/>
      <c r="P114" s="93"/>
      <c r="Q114" s="112"/>
      <c r="R114" s="105"/>
      <c r="S114" s="105"/>
    </row>
    <row r="115" spans="1:19" s="28" customFormat="1">
      <c r="A115" s="55" t="str">
        <f>IF(F115&lt;&gt;"",1+MAX($A$2:A114),"")</f>
        <v/>
      </c>
      <c r="B115" s="71"/>
      <c r="C115" s="66"/>
      <c r="D115" s="128" t="s">
        <v>126</v>
      </c>
      <c r="E115" s="73"/>
      <c r="F115" s="82"/>
      <c r="G115" s="60"/>
      <c r="H115" s="58"/>
      <c r="I115" s="99"/>
      <c r="J115" s="60"/>
      <c r="K115" s="100"/>
      <c r="L115" s="100"/>
      <c r="M115" s="100"/>
      <c r="N115" s="100"/>
      <c r="O115" s="100"/>
      <c r="P115" s="100"/>
      <c r="Q115" s="111"/>
      <c r="R115" s="105"/>
      <c r="S115" s="105"/>
    </row>
    <row r="116" spans="1:19" s="28" customFormat="1">
      <c r="A116" s="55">
        <f>IF(F116&lt;&gt;"",1+MAX($A$2:A115),"")</f>
        <v>66</v>
      </c>
      <c r="B116" s="75"/>
      <c r="C116" s="78"/>
      <c r="D116" s="51" t="s">
        <v>127</v>
      </c>
      <c r="E116" s="60">
        <v>5</v>
      </c>
      <c r="F116" s="59">
        <v>0</v>
      </c>
      <c r="G116" s="64">
        <f t="shared" ref="G116:G134" si="256">(F116*E116)+E116</f>
        <v>5</v>
      </c>
      <c r="H116" s="58" t="s">
        <v>124</v>
      </c>
      <c r="I116" s="90">
        <v>0.4</v>
      </c>
      <c r="J116" s="91">
        <f t="shared" ref="J116:J134" si="257">+I116*G116</f>
        <v>2</v>
      </c>
      <c r="K116" s="92">
        <f>'LABOR SHEET'!C$3</f>
        <v>36</v>
      </c>
      <c r="L116" s="93">
        <f t="shared" ref="L116:L134" si="258">I116*K116</f>
        <v>14.4</v>
      </c>
      <c r="M116" s="93">
        <f t="shared" ref="M116:M134" si="259">K116*J116</f>
        <v>72</v>
      </c>
      <c r="N116" s="93">
        <v>16.989999999999998</v>
      </c>
      <c r="O116" s="93">
        <f t="shared" ref="O116:O134" si="260">N116*G116</f>
        <v>84.95</v>
      </c>
      <c r="P116" s="93">
        <f t="shared" ref="P116:P134" si="261">(I116*K116)+N116</f>
        <v>31.39</v>
      </c>
      <c r="Q116" s="112">
        <f t="shared" ref="Q116:Q134" si="262">P116*G116</f>
        <v>156.94999999999999</v>
      </c>
      <c r="R116" s="105"/>
      <c r="S116" s="105"/>
    </row>
    <row r="117" spans="1:19" s="28" customFormat="1">
      <c r="A117" s="55">
        <f>IF(F117&lt;&gt;"",1+MAX($A$2:A116),"")</f>
        <v>67</v>
      </c>
      <c r="B117" s="75"/>
      <c r="C117" s="78"/>
      <c r="D117" s="51" t="s">
        <v>128</v>
      </c>
      <c r="E117" s="60">
        <v>19</v>
      </c>
      <c r="F117" s="59">
        <v>0</v>
      </c>
      <c r="G117" s="64">
        <f t="shared" si="256"/>
        <v>19</v>
      </c>
      <c r="H117" s="58" t="s">
        <v>124</v>
      </c>
      <c r="I117" s="90">
        <v>0.42</v>
      </c>
      <c r="J117" s="91">
        <f t="shared" si="257"/>
        <v>7.98</v>
      </c>
      <c r="K117" s="92">
        <f>'LABOR SHEET'!C$3</f>
        <v>36</v>
      </c>
      <c r="L117" s="93">
        <f t="shared" si="258"/>
        <v>15.12</v>
      </c>
      <c r="M117" s="93">
        <f t="shared" si="259"/>
        <v>287.27999999999997</v>
      </c>
      <c r="N117" s="93">
        <v>19.899999999999999</v>
      </c>
      <c r="O117" s="93">
        <f t="shared" si="260"/>
        <v>378.1</v>
      </c>
      <c r="P117" s="93">
        <f t="shared" si="261"/>
        <v>35.020000000000003</v>
      </c>
      <c r="Q117" s="112">
        <f t="shared" si="262"/>
        <v>665.38</v>
      </c>
      <c r="R117" s="105"/>
      <c r="S117" s="105"/>
    </row>
    <row r="118" spans="1:19" s="28" customFormat="1">
      <c r="A118" s="55">
        <f>IF(F118&lt;&gt;"",1+MAX($A$2:A117),"")</f>
        <v>68</v>
      </c>
      <c r="B118" s="75"/>
      <c r="C118" s="78"/>
      <c r="D118" s="51" t="s">
        <v>129</v>
      </c>
      <c r="E118" s="60">
        <v>1</v>
      </c>
      <c r="F118" s="59">
        <v>0</v>
      </c>
      <c r="G118" s="64">
        <f t="shared" si="256"/>
        <v>1</v>
      </c>
      <c r="H118" s="58" t="s">
        <v>124</v>
      </c>
      <c r="I118" s="90">
        <v>2</v>
      </c>
      <c r="J118" s="91">
        <f t="shared" si="257"/>
        <v>2</v>
      </c>
      <c r="K118" s="92">
        <f>'LABOR SHEET'!C$3</f>
        <v>36</v>
      </c>
      <c r="L118" s="93">
        <f t="shared" si="258"/>
        <v>72</v>
      </c>
      <c r="M118" s="93">
        <f t="shared" si="259"/>
        <v>72</v>
      </c>
      <c r="N118" s="93">
        <v>86.36</v>
      </c>
      <c r="O118" s="93">
        <f t="shared" si="260"/>
        <v>86.36</v>
      </c>
      <c r="P118" s="93">
        <f t="shared" si="261"/>
        <v>158.36000000000001</v>
      </c>
      <c r="Q118" s="112">
        <f t="shared" si="262"/>
        <v>158.36000000000001</v>
      </c>
      <c r="R118" s="105"/>
      <c r="S118" s="105"/>
    </row>
    <row r="119" spans="1:19" s="28" customFormat="1">
      <c r="A119" s="55">
        <f>IF(F119&lt;&gt;"",1+MAX($A$2:A118),"")</f>
        <v>69</v>
      </c>
      <c r="B119" s="75"/>
      <c r="C119" s="78"/>
      <c r="D119" s="51" t="s">
        <v>130</v>
      </c>
      <c r="E119" s="60">
        <v>2</v>
      </c>
      <c r="F119" s="59">
        <v>0</v>
      </c>
      <c r="G119" s="64">
        <f t="shared" si="256"/>
        <v>2</v>
      </c>
      <c r="H119" s="58" t="s">
        <v>124</v>
      </c>
      <c r="I119" s="90">
        <v>1.6</v>
      </c>
      <c r="J119" s="91">
        <f t="shared" si="257"/>
        <v>3.2</v>
      </c>
      <c r="K119" s="92">
        <f>'LABOR SHEET'!C$3</f>
        <v>36</v>
      </c>
      <c r="L119" s="93">
        <f t="shared" si="258"/>
        <v>57.6</v>
      </c>
      <c r="M119" s="93">
        <f t="shared" si="259"/>
        <v>115.2</v>
      </c>
      <c r="N119" s="93">
        <v>72.09</v>
      </c>
      <c r="O119" s="93">
        <f t="shared" si="260"/>
        <v>144.18</v>
      </c>
      <c r="P119" s="93">
        <f t="shared" si="261"/>
        <v>129.69</v>
      </c>
      <c r="Q119" s="112">
        <f t="shared" si="262"/>
        <v>259.38</v>
      </c>
      <c r="R119" s="105"/>
      <c r="S119" s="105"/>
    </row>
    <row r="120" spans="1:19" s="28" customFormat="1">
      <c r="A120" s="55">
        <f>IF(F120&lt;&gt;"",1+MAX($A$2:A119),"")</f>
        <v>70</v>
      </c>
      <c r="B120" s="75"/>
      <c r="C120" s="78"/>
      <c r="D120" s="51" t="s">
        <v>131</v>
      </c>
      <c r="E120" s="60">
        <v>4</v>
      </c>
      <c r="F120" s="59">
        <v>0</v>
      </c>
      <c r="G120" s="64">
        <f t="shared" si="256"/>
        <v>4</v>
      </c>
      <c r="H120" s="58" t="s">
        <v>124</v>
      </c>
      <c r="I120" s="90">
        <v>0.2</v>
      </c>
      <c r="J120" s="91">
        <f t="shared" si="257"/>
        <v>0.8</v>
      </c>
      <c r="K120" s="92">
        <f>'LABOR SHEET'!C$3</f>
        <v>36</v>
      </c>
      <c r="L120" s="93">
        <f t="shared" si="258"/>
        <v>7.2</v>
      </c>
      <c r="M120" s="93">
        <f t="shared" si="259"/>
        <v>28.8</v>
      </c>
      <c r="N120" s="93">
        <f>188/150*6</f>
        <v>7.52</v>
      </c>
      <c r="O120" s="93">
        <f t="shared" si="260"/>
        <v>30.08</v>
      </c>
      <c r="P120" s="93">
        <f t="shared" si="261"/>
        <v>14.72</v>
      </c>
      <c r="Q120" s="112">
        <f t="shared" si="262"/>
        <v>58.88</v>
      </c>
      <c r="R120" s="105"/>
      <c r="S120" s="105"/>
    </row>
    <row r="121" spans="1:19" s="28" customFormat="1">
      <c r="A121" s="55">
        <f>IF(F121&lt;&gt;"",1+MAX($A$2:A120),"")</f>
        <v>71</v>
      </c>
      <c r="B121" s="75"/>
      <c r="C121" s="78"/>
      <c r="D121" s="51" t="s">
        <v>132</v>
      </c>
      <c r="E121" s="60">
        <v>41</v>
      </c>
      <c r="F121" s="59">
        <v>0</v>
      </c>
      <c r="G121" s="64">
        <f t="shared" si="256"/>
        <v>41</v>
      </c>
      <c r="H121" s="58" t="s">
        <v>124</v>
      </c>
      <c r="I121" s="90">
        <v>1</v>
      </c>
      <c r="J121" s="91">
        <f t="shared" si="257"/>
        <v>41</v>
      </c>
      <c r="K121" s="92">
        <f>'LABOR SHEET'!C$3</f>
        <v>36</v>
      </c>
      <c r="L121" s="93">
        <f t="shared" si="258"/>
        <v>36</v>
      </c>
      <c r="M121" s="93">
        <f t="shared" si="259"/>
        <v>1476</v>
      </c>
      <c r="N121" s="93">
        <v>39.71</v>
      </c>
      <c r="O121" s="93">
        <f t="shared" si="260"/>
        <v>1628.11</v>
      </c>
      <c r="P121" s="93">
        <f t="shared" si="261"/>
        <v>75.709999999999994</v>
      </c>
      <c r="Q121" s="112">
        <f t="shared" si="262"/>
        <v>3104.11</v>
      </c>
      <c r="R121" s="105"/>
      <c r="S121" s="105"/>
    </row>
    <row r="122" spans="1:19" s="28" customFormat="1">
      <c r="A122" s="55">
        <f>IF(F122&lt;&gt;"",1+MAX($A$2:A121),"")</f>
        <v>72</v>
      </c>
      <c r="B122" s="75"/>
      <c r="C122" s="78"/>
      <c r="D122" s="51" t="s">
        <v>133</v>
      </c>
      <c r="E122" s="60">
        <v>4</v>
      </c>
      <c r="F122" s="59">
        <v>0</v>
      </c>
      <c r="G122" s="64">
        <f t="shared" si="256"/>
        <v>4</v>
      </c>
      <c r="H122" s="58" t="s">
        <v>124</v>
      </c>
      <c r="I122" s="90">
        <v>0.22</v>
      </c>
      <c r="J122" s="91">
        <f t="shared" si="257"/>
        <v>0.88</v>
      </c>
      <c r="K122" s="92">
        <f>'LABOR SHEET'!C$3</f>
        <v>36</v>
      </c>
      <c r="L122" s="93">
        <f t="shared" si="258"/>
        <v>7.92</v>
      </c>
      <c r="M122" s="93">
        <f t="shared" si="259"/>
        <v>31.68</v>
      </c>
      <c r="N122" s="93">
        <f>72.06/25*4</f>
        <v>11.5296</v>
      </c>
      <c r="O122" s="93">
        <f t="shared" si="260"/>
        <v>46.118400000000001</v>
      </c>
      <c r="P122" s="93">
        <f t="shared" si="261"/>
        <v>19.4496</v>
      </c>
      <c r="Q122" s="112">
        <f t="shared" si="262"/>
        <v>77.798400000000001</v>
      </c>
      <c r="R122" s="105"/>
      <c r="S122" s="105"/>
    </row>
    <row r="123" spans="1:19" s="28" customFormat="1">
      <c r="A123" s="55">
        <f>IF(F123&lt;&gt;"",1+MAX($A$2:A122),"")</f>
        <v>73</v>
      </c>
      <c r="B123" s="75"/>
      <c r="C123" s="78"/>
      <c r="D123" s="51" t="s">
        <v>134</v>
      </c>
      <c r="E123" s="60">
        <v>1</v>
      </c>
      <c r="F123" s="59">
        <v>0</v>
      </c>
      <c r="G123" s="64">
        <f t="shared" si="256"/>
        <v>1</v>
      </c>
      <c r="H123" s="58" t="s">
        <v>124</v>
      </c>
      <c r="I123" s="90">
        <v>0.6</v>
      </c>
      <c r="J123" s="91">
        <f t="shared" si="257"/>
        <v>0.6</v>
      </c>
      <c r="K123" s="92">
        <f>'LABOR SHEET'!C$3</f>
        <v>36</v>
      </c>
      <c r="L123" s="93">
        <f t="shared" si="258"/>
        <v>21.6</v>
      </c>
      <c r="M123" s="93">
        <f t="shared" si="259"/>
        <v>21.6</v>
      </c>
      <c r="N123" s="93">
        <v>53.58</v>
      </c>
      <c r="O123" s="93">
        <f t="shared" si="260"/>
        <v>53.58</v>
      </c>
      <c r="P123" s="93">
        <f t="shared" si="261"/>
        <v>75.180000000000007</v>
      </c>
      <c r="Q123" s="112">
        <f t="shared" si="262"/>
        <v>75.180000000000007</v>
      </c>
      <c r="R123" s="105"/>
      <c r="S123" s="105"/>
    </row>
    <row r="124" spans="1:19" s="28" customFormat="1">
      <c r="A124" s="55">
        <f>IF(F124&lt;&gt;"",1+MAX($A$2:A123),"")</f>
        <v>74</v>
      </c>
      <c r="B124" s="75"/>
      <c r="C124" s="78"/>
      <c r="D124" s="51" t="s">
        <v>135</v>
      </c>
      <c r="E124" s="60">
        <v>3</v>
      </c>
      <c r="F124" s="59">
        <v>0</v>
      </c>
      <c r="G124" s="64">
        <f t="shared" si="256"/>
        <v>3</v>
      </c>
      <c r="H124" s="58" t="s">
        <v>124</v>
      </c>
      <c r="I124" s="90">
        <v>2.2000000000000002</v>
      </c>
      <c r="J124" s="91">
        <f t="shared" si="257"/>
        <v>6.6</v>
      </c>
      <c r="K124" s="92">
        <f>'LABOR SHEET'!C$3</f>
        <v>36</v>
      </c>
      <c r="L124" s="93">
        <f t="shared" si="258"/>
        <v>79.2</v>
      </c>
      <c r="M124" s="93">
        <f t="shared" si="259"/>
        <v>237.6</v>
      </c>
      <c r="N124" s="93">
        <v>171.19</v>
      </c>
      <c r="O124" s="93">
        <f t="shared" si="260"/>
        <v>513.57000000000005</v>
      </c>
      <c r="P124" s="93">
        <f t="shared" si="261"/>
        <v>250.39</v>
      </c>
      <c r="Q124" s="112">
        <f t="shared" si="262"/>
        <v>751.17</v>
      </c>
      <c r="R124" s="105"/>
      <c r="S124" s="105"/>
    </row>
    <row r="125" spans="1:19" s="28" customFormat="1">
      <c r="A125" s="55">
        <f>IF(F125&lt;&gt;"",1+MAX($A$2:A124),"")</f>
        <v>75</v>
      </c>
      <c r="B125" s="75"/>
      <c r="C125" s="78"/>
      <c r="D125" s="51" t="s">
        <v>136</v>
      </c>
      <c r="E125" s="60">
        <v>82</v>
      </c>
      <c r="F125" s="59">
        <v>0</v>
      </c>
      <c r="G125" s="64">
        <f t="shared" si="256"/>
        <v>82</v>
      </c>
      <c r="H125" s="58" t="s">
        <v>124</v>
      </c>
      <c r="I125" s="90">
        <v>0.1</v>
      </c>
      <c r="J125" s="91">
        <f t="shared" si="257"/>
        <v>8.1999999999999993</v>
      </c>
      <c r="K125" s="92">
        <f>'LABOR SHEET'!C$3</f>
        <v>36</v>
      </c>
      <c r="L125" s="93">
        <f t="shared" si="258"/>
        <v>3.6</v>
      </c>
      <c r="M125" s="93">
        <f t="shared" si="259"/>
        <v>295.2</v>
      </c>
      <c r="N125" s="93">
        <f>48.39/5</f>
        <v>9.6780000000000008</v>
      </c>
      <c r="O125" s="93">
        <f t="shared" si="260"/>
        <v>793.596</v>
      </c>
      <c r="P125" s="93">
        <f t="shared" si="261"/>
        <v>13.278</v>
      </c>
      <c r="Q125" s="112">
        <f t="shared" si="262"/>
        <v>1088.796</v>
      </c>
      <c r="R125" s="105"/>
      <c r="S125" s="105"/>
    </row>
    <row r="126" spans="1:19" s="28" customFormat="1">
      <c r="A126" s="55">
        <f>IF(F126&lt;&gt;"",1+MAX($A$2:A125),"")</f>
        <v>76</v>
      </c>
      <c r="B126" s="75"/>
      <c r="C126" s="78"/>
      <c r="D126" s="51" t="s">
        <v>137</v>
      </c>
      <c r="E126" s="60">
        <v>429</v>
      </c>
      <c r="F126" s="59">
        <v>0</v>
      </c>
      <c r="G126" s="64">
        <f t="shared" si="256"/>
        <v>429</v>
      </c>
      <c r="H126" s="58" t="s">
        <v>124</v>
      </c>
      <c r="I126" s="90">
        <v>0.1</v>
      </c>
      <c r="J126" s="91">
        <f t="shared" si="257"/>
        <v>42.9</v>
      </c>
      <c r="K126" s="92">
        <f>'LABOR SHEET'!C$3</f>
        <v>36</v>
      </c>
      <c r="L126" s="93">
        <f t="shared" si="258"/>
        <v>3.6</v>
      </c>
      <c r="M126" s="93">
        <f t="shared" si="259"/>
        <v>1544.4</v>
      </c>
      <c r="N126" s="93">
        <f>299.2/40</f>
        <v>7.48</v>
      </c>
      <c r="O126" s="93">
        <f t="shared" si="260"/>
        <v>3208.92</v>
      </c>
      <c r="P126" s="93">
        <f t="shared" si="261"/>
        <v>11.08</v>
      </c>
      <c r="Q126" s="112">
        <f t="shared" si="262"/>
        <v>4753.32</v>
      </c>
      <c r="R126" s="105"/>
      <c r="S126" s="105"/>
    </row>
    <row r="127" spans="1:19" s="28" customFormat="1">
      <c r="A127" s="55">
        <f>IF(F127&lt;&gt;"",1+MAX($A$2:A126),"")</f>
        <v>77</v>
      </c>
      <c r="B127" s="75"/>
      <c r="C127" s="78"/>
      <c r="D127" s="51" t="s">
        <v>138</v>
      </c>
      <c r="E127" s="60">
        <v>61</v>
      </c>
      <c r="F127" s="59">
        <v>0</v>
      </c>
      <c r="G127" s="64">
        <f t="shared" si="256"/>
        <v>61</v>
      </c>
      <c r="H127" s="58" t="s">
        <v>124</v>
      </c>
      <c r="I127" s="90">
        <v>0.02</v>
      </c>
      <c r="J127" s="91">
        <f t="shared" si="257"/>
        <v>1.22</v>
      </c>
      <c r="K127" s="92">
        <f>'LABOR SHEET'!C$3</f>
        <v>36</v>
      </c>
      <c r="L127" s="93">
        <f t="shared" si="258"/>
        <v>0.72</v>
      </c>
      <c r="M127" s="93">
        <f t="shared" si="259"/>
        <v>43.92</v>
      </c>
      <c r="N127" s="93">
        <f>47.47/50</f>
        <v>0.94940000000000002</v>
      </c>
      <c r="O127" s="93">
        <f t="shared" si="260"/>
        <v>57.913400000000003</v>
      </c>
      <c r="P127" s="93">
        <f t="shared" si="261"/>
        <v>1.6694</v>
      </c>
      <c r="Q127" s="112">
        <f t="shared" si="262"/>
        <v>101.8334</v>
      </c>
      <c r="R127" s="105"/>
      <c r="S127" s="105"/>
    </row>
    <row r="128" spans="1:19" s="28" customFormat="1">
      <c r="A128" s="55">
        <f>IF(F128&lt;&gt;"",1+MAX($A$2:A127),"")</f>
        <v>78</v>
      </c>
      <c r="B128" s="75"/>
      <c r="C128" s="78"/>
      <c r="D128" s="51" t="s">
        <v>139</v>
      </c>
      <c r="E128" s="60">
        <v>82</v>
      </c>
      <c r="F128" s="59">
        <v>0</v>
      </c>
      <c r="G128" s="64">
        <f t="shared" si="256"/>
        <v>82</v>
      </c>
      <c r="H128" s="58" t="s">
        <v>124</v>
      </c>
      <c r="I128" s="90">
        <v>0.02</v>
      </c>
      <c r="J128" s="91">
        <f t="shared" ref="J128" si="263">+I128*G128</f>
        <v>1.64</v>
      </c>
      <c r="K128" s="92">
        <f>'LABOR SHEET'!C$3</f>
        <v>36</v>
      </c>
      <c r="L128" s="93">
        <f t="shared" ref="L128" si="264">I128*K128</f>
        <v>0.72</v>
      </c>
      <c r="M128" s="93">
        <f t="shared" ref="M128" si="265">K128*J128</f>
        <v>59.04</v>
      </c>
      <c r="N128" s="93">
        <f>47.47/50</f>
        <v>0.94940000000000002</v>
      </c>
      <c r="O128" s="93">
        <f t="shared" ref="O128" si="266">N128*G128</f>
        <v>77.850800000000007</v>
      </c>
      <c r="P128" s="93">
        <f t="shared" ref="P128" si="267">(I128*K128)+N128</f>
        <v>1.6694</v>
      </c>
      <c r="Q128" s="112">
        <f t="shared" ref="Q128" si="268">P128*G128</f>
        <v>136.89080000000001</v>
      </c>
      <c r="R128" s="105"/>
      <c r="S128" s="105"/>
    </row>
    <row r="129" spans="1:19" s="28" customFormat="1">
      <c r="A129" s="55">
        <f>IF(F129&lt;&gt;"",1+MAX($A$2:A128),"")</f>
        <v>79</v>
      </c>
      <c r="B129" s="75"/>
      <c r="C129" s="78"/>
      <c r="D129" s="51" t="s">
        <v>140</v>
      </c>
      <c r="E129" s="60">
        <v>159</v>
      </c>
      <c r="F129" s="59">
        <v>0</v>
      </c>
      <c r="G129" s="64">
        <f t="shared" si="256"/>
        <v>159</v>
      </c>
      <c r="H129" s="58" t="s">
        <v>124</v>
      </c>
      <c r="I129" s="90">
        <v>0.1</v>
      </c>
      <c r="J129" s="91">
        <f t="shared" si="257"/>
        <v>15.9</v>
      </c>
      <c r="K129" s="92">
        <f>'LABOR SHEET'!C$3</f>
        <v>36</v>
      </c>
      <c r="L129" s="93">
        <f t="shared" si="258"/>
        <v>3.6</v>
      </c>
      <c r="M129" s="93">
        <f t="shared" si="259"/>
        <v>572.4</v>
      </c>
      <c r="N129" s="93">
        <v>1.2</v>
      </c>
      <c r="O129" s="93">
        <f t="shared" si="260"/>
        <v>190.8</v>
      </c>
      <c r="P129" s="93">
        <f t="shared" si="261"/>
        <v>4.8</v>
      </c>
      <c r="Q129" s="112">
        <f t="shared" si="262"/>
        <v>763.2</v>
      </c>
      <c r="R129" s="105"/>
      <c r="S129" s="105"/>
    </row>
    <row r="130" spans="1:19" s="28" customFormat="1">
      <c r="A130" s="55">
        <f>IF(F130&lt;&gt;"",1+MAX($A$2:A129),"")</f>
        <v>80</v>
      </c>
      <c r="B130" s="75"/>
      <c r="C130" s="78"/>
      <c r="D130" s="51" t="s">
        <v>141</v>
      </c>
      <c r="E130" s="60">
        <v>74</v>
      </c>
      <c r="F130" s="59">
        <v>0</v>
      </c>
      <c r="G130" s="64">
        <f t="shared" si="256"/>
        <v>74</v>
      </c>
      <c r="H130" s="58" t="s">
        <v>124</v>
      </c>
      <c r="I130" s="90">
        <v>0.16</v>
      </c>
      <c r="J130" s="91">
        <f t="shared" si="257"/>
        <v>11.84</v>
      </c>
      <c r="K130" s="92">
        <f>'LABOR SHEET'!C$3</f>
        <v>36</v>
      </c>
      <c r="L130" s="93">
        <f t="shared" si="258"/>
        <v>5.76</v>
      </c>
      <c r="M130" s="93">
        <f t="shared" si="259"/>
        <v>426.24</v>
      </c>
      <c r="N130" s="93">
        <v>3.28</v>
      </c>
      <c r="O130" s="93">
        <f t="shared" si="260"/>
        <v>242.72</v>
      </c>
      <c r="P130" s="93">
        <f t="shared" si="261"/>
        <v>9.0399999999999991</v>
      </c>
      <c r="Q130" s="112">
        <f t="shared" si="262"/>
        <v>668.96</v>
      </c>
      <c r="R130" s="105"/>
      <c r="S130" s="105"/>
    </row>
    <row r="131" spans="1:19" s="28" customFormat="1">
      <c r="A131" s="55">
        <f>IF(F131&lt;&gt;"",1+MAX($A$2:A130),"")</f>
        <v>81</v>
      </c>
      <c r="B131" s="75"/>
      <c r="C131" s="78"/>
      <c r="D131" s="51" t="s">
        <v>142</v>
      </c>
      <c r="E131" s="60">
        <v>6</v>
      </c>
      <c r="F131" s="59">
        <v>0</v>
      </c>
      <c r="G131" s="64">
        <f t="shared" si="256"/>
        <v>6</v>
      </c>
      <c r="H131" s="58" t="s">
        <v>124</v>
      </c>
      <c r="I131" s="90">
        <v>0.6</v>
      </c>
      <c r="J131" s="91">
        <f t="shared" si="257"/>
        <v>3.6</v>
      </c>
      <c r="K131" s="92">
        <f>'LABOR SHEET'!C$3</f>
        <v>36</v>
      </c>
      <c r="L131" s="93">
        <f t="shared" si="258"/>
        <v>21.6</v>
      </c>
      <c r="M131" s="93">
        <f t="shared" si="259"/>
        <v>129.6</v>
      </c>
      <c r="N131" s="93">
        <f>425/25</f>
        <v>17</v>
      </c>
      <c r="O131" s="93">
        <f t="shared" si="260"/>
        <v>102</v>
      </c>
      <c r="P131" s="93">
        <f t="shared" si="261"/>
        <v>38.6</v>
      </c>
      <c r="Q131" s="112">
        <f t="shared" si="262"/>
        <v>231.6</v>
      </c>
      <c r="R131" s="105"/>
      <c r="S131" s="105"/>
    </row>
    <row r="132" spans="1:19" s="28" customFormat="1">
      <c r="A132" s="55">
        <f>IF(F132&lt;&gt;"",1+MAX($A$2:A131),"")</f>
        <v>82</v>
      </c>
      <c r="B132" s="75"/>
      <c r="C132" s="78"/>
      <c r="D132" s="51" t="s">
        <v>143</v>
      </c>
      <c r="E132" s="60">
        <v>457</v>
      </c>
      <c r="F132" s="59">
        <v>0</v>
      </c>
      <c r="G132" s="64">
        <f t="shared" si="256"/>
        <v>457</v>
      </c>
      <c r="H132" s="58" t="s">
        <v>124</v>
      </c>
      <c r="I132" s="90">
        <v>0.4</v>
      </c>
      <c r="J132" s="91">
        <f t="shared" si="257"/>
        <v>182.8</v>
      </c>
      <c r="K132" s="92">
        <f>'LABOR SHEET'!C$3</f>
        <v>36</v>
      </c>
      <c r="L132" s="93">
        <f t="shared" si="258"/>
        <v>14.4</v>
      </c>
      <c r="M132" s="93">
        <f t="shared" si="259"/>
        <v>6580.8</v>
      </c>
      <c r="N132" s="93">
        <v>19.649999999999999</v>
      </c>
      <c r="O132" s="93">
        <f t="shared" si="260"/>
        <v>8980.0499999999993</v>
      </c>
      <c r="P132" s="93">
        <f t="shared" si="261"/>
        <v>34.049999999999997</v>
      </c>
      <c r="Q132" s="112">
        <f t="shared" si="262"/>
        <v>15560.85</v>
      </c>
      <c r="R132" s="105"/>
      <c r="S132" s="105"/>
    </row>
    <row r="133" spans="1:19" s="28" customFormat="1">
      <c r="A133" s="55">
        <f>IF(F133&lt;&gt;"",1+MAX($A$2:A132),"")</f>
        <v>83</v>
      </c>
      <c r="B133" s="75"/>
      <c r="C133" s="78"/>
      <c r="D133" s="51" t="s">
        <v>144</v>
      </c>
      <c r="E133" s="60">
        <v>4</v>
      </c>
      <c r="F133" s="59">
        <v>0</v>
      </c>
      <c r="G133" s="64">
        <f t="shared" si="256"/>
        <v>4</v>
      </c>
      <c r="H133" s="58" t="s">
        <v>124</v>
      </c>
      <c r="I133" s="90">
        <v>0.2</v>
      </c>
      <c r="J133" s="91">
        <f t="shared" si="257"/>
        <v>0.8</v>
      </c>
      <c r="K133" s="92">
        <f>'LABOR SHEET'!C$3</f>
        <v>36</v>
      </c>
      <c r="L133" s="93">
        <f t="shared" si="258"/>
        <v>7.2</v>
      </c>
      <c r="M133" s="93">
        <f t="shared" si="259"/>
        <v>28.8</v>
      </c>
      <c r="N133" s="93">
        <v>3.6</v>
      </c>
      <c r="O133" s="93">
        <f t="shared" si="260"/>
        <v>14.4</v>
      </c>
      <c r="P133" s="93">
        <f t="shared" si="261"/>
        <v>10.8</v>
      </c>
      <c r="Q133" s="112">
        <f t="shared" si="262"/>
        <v>43.2</v>
      </c>
      <c r="R133" s="105"/>
      <c r="S133" s="105"/>
    </row>
    <row r="134" spans="1:19" s="28" customFormat="1">
      <c r="A134" s="55">
        <f>IF(F134&lt;&gt;"",1+MAX($A$2:A133),"")</f>
        <v>84</v>
      </c>
      <c r="B134" s="75"/>
      <c r="C134" s="78"/>
      <c r="D134" s="51" t="s">
        <v>145</v>
      </c>
      <c r="E134" s="60">
        <v>4</v>
      </c>
      <c r="F134" s="59">
        <v>0</v>
      </c>
      <c r="G134" s="64">
        <f t="shared" si="256"/>
        <v>4</v>
      </c>
      <c r="H134" s="58" t="s">
        <v>124</v>
      </c>
      <c r="I134" s="90">
        <v>0.2</v>
      </c>
      <c r="J134" s="91">
        <f t="shared" si="257"/>
        <v>0.8</v>
      </c>
      <c r="K134" s="92">
        <f>'LABOR SHEET'!C$3</f>
        <v>36</v>
      </c>
      <c r="L134" s="93">
        <f t="shared" si="258"/>
        <v>7.2</v>
      </c>
      <c r="M134" s="93">
        <f t="shared" si="259"/>
        <v>28.8</v>
      </c>
      <c r="N134" s="93">
        <v>2.77</v>
      </c>
      <c r="O134" s="93">
        <f t="shared" si="260"/>
        <v>11.08</v>
      </c>
      <c r="P134" s="93">
        <f t="shared" si="261"/>
        <v>9.9700000000000006</v>
      </c>
      <c r="Q134" s="112">
        <f t="shared" si="262"/>
        <v>39.880000000000003</v>
      </c>
      <c r="R134" s="105"/>
      <c r="S134" s="105"/>
    </row>
    <row r="135" spans="1:19" s="28" customFormat="1">
      <c r="A135" s="55" t="str">
        <f>IF(F135&lt;&gt;"",1+MAX($A$2:A134),"")</f>
        <v/>
      </c>
      <c r="B135" s="75"/>
      <c r="C135" s="83"/>
      <c r="D135" s="51"/>
      <c r="E135" s="84"/>
      <c r="F135" s="59"/>
      <c r="G135" s="60"/>
      <c r="H135" s="58"/>
      <c r="I135" s="90"/>
      <c r="J135" s="91"/>
      <c r="K135" s="92"/>
      <c r="L135" s="93"/>
      <c r="M135" s="93"/>
      <c r="N135" s="93"/>
      <c r="O135" s="93"/>
      <c r="P135" s="93"/>
      <c r="Q135" s="112"/>
      <c r="R135" s="105"/>
      <c r="S135" s="105"/>
    </row>
    <row r="136" spans="1:19" s="28" customFormat="1">
      <c r="A136" s="55" t="str">
        <f>IF(F136&lt;&gt;"",1+MAX($A$2:A135),"")</f>
        <v/>
      </c>
      <c r="B136" s="71"/>
      <c r="C136" s="66"/>
      <c r="D136" s="128" t="s">
        <v>146</v>
      </c>
      <c r="E136" s="73"/>
      <c r="F136" s="82"/>
      <c r="G136" s="60"/>
      <c r="H136" s="58"/>
      <c r="I136" s="99"/>
      <c r="J136" s="60"/>
      <c r="K136" s="100"/>
      <c r="L136" s="100"/>
      <c r="M136" s="100"/>
      <c r="N136" s="100"/>
      <c r="O136" s="100"/>
      <c r="P136" s="100"/>
      <c r="Q136" s="111"/>
      <c r="R136" s="105"/>
      <c r="S136" s="105"/>
    </row>
    <row r="137" spans="1:19" s="28" customFormat="1">
      <c r="A137" s="55">
        <f>IF(F137&lt;&gt;"",1+MAX($A$2:A136),"")</f>
        <v>85</v>
      </c>
      <c r="B137" s="75"/>
      <c r="C137" s="78"/>
      <c r="D137" s="51" t="s">
        <v>147</v>
      </c>
      <c r="E137" s="60">
        <v>68</v>
      </c>
      <c r="F137" s="59">
        <v>0</v>
      </c>
      <c r="G137" s="64">
        <f t="shared" ref="G137" si="269">(F137*E137)+E137</f>
        <v>68</v>
      </c>
      <c r="H137" s="58" t="s">
        <v>124</v>
      </c>
      <c r="I137" s="90">
        <v>0.1</v>
      </c>
      <c r="J137" s="91">
        <f t="shared" ref="J137" si="270">+I137*G137</f>
        <v>6.8</v>
      </c>
      <c r="K137" s="92">
        <f>'LABOR SHEET'!C$14</f>
        <v>47</v>
      </c>
      <c r="L137" s="93">
        <f t="shared" ref="L137" si="271">I137*K137</f>
        <v>4.7</v>
      </c>
      <c r="M137" s="93">
        <f t="shared" ref="M137" si="272">K137*J137</f>
        <v>319.60000000000002</v>
      </c>
      <c r="N137" s="93">
        <v>3.32</v>
      </c>
      <c r="O137" s="93">
        <f t="shared" ref="O137" si="273">N137*G137</f>
        <v>225.76</v>
      </c>
      <c r="P137" s="93">
        <f t="shared" ref="P137" si="274">(I137*K137)+N137</f>
        <v>8.02</v>
      </c>
      <c r="Q137" s="112">
        <f t="shared" ref="Q137" si="275">P137*G137</f>
        <v>545.36</v>
      </c>
      <c r="R137" s="105"/>
      <c r="S137" s="105"/>
    </row>
    <row r="138" spans="1:19" s="28" customFormat="1">
      <c r="A138" s="55" t="str">
        <f>IF(F138&lt;&gt;"",1+MAX($A$2:A137),"")</f>
        <v/>
      </c>
      <c r="B138" s="75"/>
      <c r="C138" s="78"/>
      <c r="D138" s="57"/>
      <c r="E138" s="64"/>
      <c r="F138" s="63"/>
      <c r="G138" s="64"/>
      <c r="H138" s="62"/>
      <c r="I138" s="94"/>
      <c r="J138" s="95"/>
      <c r="K138" s="96"/>
      <c r="L138" s="97"/>
      <c r="M138" s="97"/>
      <c r="N138" s="97"/>
      <c r="O138" s="97"/>
      <c r="P138" s="97"/>
      <c r="Q138" s="137"/>
      <c r="R138" s="105"/>
      <c r="S138" s="105"/>
    </row>
    <row r="139" spans="1:19" s="29" customFormat="1">
      <c r="A139" s="55" t="str">
        <f>IF(F139&lt;&gt;"",1+MAX($A$2:A138),"")</f>
        <v/>
      </c>
      <c r="B139" s="71"/>
      <c r="C139" s="66"/>
      <c r="D139" s="67" t="s">
        <v>58</v>
      </c>
      <c r="E139" s="68"/>
      <c r="F139" s="68"/>
      <c r="G139" s="68"/>
      <c r="H139" s="68"/>
      <c r="I139" s="68"/>
      <c r="J139" s="130"/>
      <c r="K139" s="130"/>
      <c r="L139" s="131"/>
      <c r="M139" s="132"/>
      <c r="N139" s="131"/>
      <c r="O139" s="98"/>
      <c r="P139" s="98"/>
      <c r="Q139" s="106">
        <f>SUM(Q101:Q137)</f>
        <v>62690.617654000001</v>
      </c>
      <c r="R139" s="107"/>
    </row>
    <row r="140" spans="1:19" s="29" customFormat="1">
      <c r="A140" s="55" t="str">
        <f>IF(F140&lt;&gt;"",1+MAX($A$2:A139),"")</f>
        <v/>
      </c>
      <c r="B140" s="140"/>
      <c r="C140" s="140"/>
      <c r="D140" s="140"/>
      <c r="E140" s="140"/>
      <c r="F140" s="140"/>
      <c r="G140" s="140"/>
      <c r="H140" s="140"/>
      <c r="I140" s="140"/>
      <c r="J140" s="140"/>
      <c r="K140" s="140"/>
      <c r="L140" s="140"/>
      <c r="M140" s="140"/>
      <c r="N140" s="140"/>
      <c r="O140" s="140"/>
      <c r="P140" s="140"/>
      <c r="Q140" s="152"/>
      <c r="R140" s="107"/>
    </row>
    <row r="141" spans="1:19" s="30" customFormat="1">
      <c r="A141" s="45" t="str">
        <f>IF(F141&lt;&gt;"",1+MAX($A$2:A140),"")</f>
        <v/>
      </c>
      <c r="B141" s="46"/>
      <c r="C141" s="47">
        <v>6</v>
      </c>
      <c r="D141" s="141" t="s">
        <v>148</v>
      </c>
      <c r="E141" s="142"/>
      <c r="F141" s="142"/>
      <c r="G141" s="142"/>
      <c r="H141" s="142"/>
      <c r="I141" s="142"/>
      <c r="J141" s="142"/>
      <c r="K141" s="142"/>
      <c r="L141" s="142"/>
      <c r="M141" s="142"/>
      <c r="N141" s="142"/>
      <c r="O141" s="142"/>
      <c r="P141" s="142"/>
      <c r="Q141" s="153"/>
      <c r="S141" s="110"/>
    </row>
    <row r="142" spans="1:19" s="28" customFormat="1">
      <c r="A142" s="55" t="str">
        <f>IF(F142&lt;&gt;"",1+MAX($A$2:A141),"")</f>
        <v/>
      </c>
      <c r="B142" s="71"/>
      <c r="C142" s="66"/>
      <c r="D142" s="143" t="s">
        <v>149</v>
      </c>
      <c r="E142" s="73"/>
      <c r="F142" s="82"/>
      <c r="G142" s="60"/>
      <c r="H142" s="58"/>
      <c r="I142" s="99"/>
      <c r="J142" s="60"/>
      <c r="K142" s="100"/>
      <c r="L142" s="100"/>
      <c r="M142" s="100"/>
      <c r="N142" s="100"/>
      <c r="O142" s="100"/>
      <c r="P142" s="100"/>
      <c r="Q142" s="111"/>
      <c r="R142" s="105"/>
      <c r="S142" s="105"/>
    </row>
    <row r="143" spans="1:19" s="28" customFormat="1">
      <c r="A143" s="55">
        <f>IF(F143&lt;&gt;"",1+MAX($A$2:A142),"")</f>
        <v>86</v>
      </c>
      <c r="B143" s="75"/>
      <c r="C143" s="56"/>
      <c r="D143" s="144" t="s">
        <v>150</v>
      </c>
      <c r="E143" s="60">
        <v>160.947368421053</v>
      </c>
      <c r="F143" s="124">
        <v>0.05</v>
      </c>
      <c r="G143" s="64">
        <f t="shared" ref="G143" si="276">(F143*E143)+E143</f>
        <v>168.99473684210599</v>
      </c>
      <c r="H143" s="125" t="s">
        <v>119</v>
      </c>
      <c r="I143" s="90">
        <v>0.02</v>
      </c>
      <c r="J143" s="91">
        <f t="shared" ref="J143" si="277">+I143*G143</f>
        <v>3.3798947368421102</v>
      </c>
      <c r="K143" s="92">
        <f>'LABOR SHEET'!C$3</f>
        <v>36</v>
      </c>
      <c r="L143" s="93">
        <f t="shared" ref="L143" si="278">I143*K143</f>
        <v>0.72</v>
      </c>
      <c r="M143" s="93">
        <f t="shared" ref="M143" si="279">K143*J143</f>
        <v>121.676210526316</v>
      </c>
      <c r="N143" s="93">
        <v>2.2000000000000002</v>
      </c>
      <c r="O143" s="93">
        <f t="shared" ref="O143" si="280">N143*G143</f>
        <v>371.78842105263197</v>
      </c>
      <c r="P143" s="93">
        <f t="shared" ref="P143" si="281">(I143*K143)+N143</f>
        <v>2.92</v>
      </c>
      <c r="Q143" s="112">
        <f t="shared" ref="Q143" si="282">P143*G143</f>
        <v>493.46463157894902</v>
      </c>
      <c r="R143" s="105"/>
      <c r="S143" s="105"/>
    </row>
    <row r="144" spans="1:19" s="28" customFormat="1">
      <c r="A144" s="55" t="str">
        <f>IF(F144&lt;&gt;"",1+MAX($A$2:A143),"")</f>
        <v/>
      </c>
      <c r="B144" s="75"/>
      <c r="C144" s="78"/>
      <c r="D144" s="144"/>
      <c r="E144" s="60"/>
      <c r="F144" s="124"/>
      <c r="G144" s="145"/>
      <c r="H144" s="125"/>
      <c r="I144" s="90"/>
      <c r="J144" s="91"/>
      <c r="K144" s="92"/>
      <c r="L144" s="93"/>
      <c r="M144" s="93"/>
      <c r="N144" s="93"/>
      <c r="O144" s="93"/>
      <c r="P144" s="93"/>
      <c r="Q144" s="111"/>
      <c r="R144" s="105"/>
      <c r="S144" s="105"/>
    </row>
    <row r="145" spans="1:19" s="28" customFormat="1">
      <c r="A145" s="55" t="str">
        <f>IF(F145&lt;&gt;"",1+MAX($A$2:A144),"")</f>
        <v/>
      </c>
      <c r="B145" s="75"/>
      <c r="C145" s="78"/>
      <c r="D145" s="143" t="s">
        <v>151</v>
      </c>
      <c r="E145" s="60"/>
      <c r="F145" s="124"/>
      <c r="G145" s="145"/>
      <c r="H145" s="125"/>
      <c r="I145" s="90"/>
      <c r="J145" s="91"/>
      <c r="K145" s="92"/>
      <c r="L145" s="93"/>
      <c r="M145" s="93"/>
      <c r="N145" s="93"/>
      <c r="O145" s="93"/>
      <c r="P145" s="93"/>
      <c r="Q145" s="111"/>
      <c r="R145" s="105"/>
      <c r="S145" s="105"/>
    </row>
    <row r="146" spans="1:19" s="28" customFormat="1">
      <c r="A146" s="55">
        <f>IF(F146&lt;&gt;"",1+MAX($A$2:A145),"")</f>
        <v>87</v>
      </c>
      <c r="B146" s="75"/>
      <c r="C146" s="78"/>
      <c r="D146" s="146" t="s">
        <v>152</v>
      </c>
      <c r="E146" s="60">
        <v>18</v>
      </c>
      <c r="F146" s="124">
        <v>0</v>
      </c>
      <c r="G146" s="64">
        <f t="shared" ref="G146:G151" si="283">(F146*E146)+E146</f>
        <v>18</v>
      </c>
      <c r="H146" s="125" t="s">
        <v>124</v>
      </c>
      <c r="I146" s="90">
        <f>0.018*11.5</f>
        <v>0.20699999999999999</v>
      </c>
      <c r="J146" s="91">
        <f t="shared" ref="J146:J151" si="284">+I146*G146</f>
        <v>3.726</v>
      </c>
      <c r="K146" s="92">
        <f>'LABOR SHEET'!C$3</f>
        <v>36</v>
      </c>
      <c r="L146" s="93">
        <f t="shared" ref="L146:L151" si="285">I146*K146</f>
        <v>7.452</v>
      </c>
      <c r="M146" s="93">
        <f t="shared" ref="M146:M151" si="286">K146*J146</f>
        <v>134.136</v>
      </c>
      <c r="N146" s="93">
        <f>1.4*11.5</f>
        <v>16.100000000000001</v>
      </c>
      <c r="O146" s="93">
        <f t="shared" ref="O146:O151" si="287">N146*G146</f>
        <v>289.8</v>
      </c>
      <c r="P146" s="93">
        <f t="shared" ref="P146:P151" si="288">(I146*K146)+N146</f>
        <v>23.552</v>
      </c>
      <c r="Q146" s="112">
        <f t="shared" ref="Q146:Q151" si="289">P146*G146</f>
        <v>423.93599999999998</v>
      </c>
      <c r="R146" s="105"/>
      <c r="S146" s="105"/>
    </row>
    <row r="147" spans="1:19" s="28" customFormat="1">
      <c r="A147" s="55">
        <f>IF(F147&lt;&gt;"",1+MAX($A$2:A146),"")</f>
        <v>88</v>
      </c>
      <c r="B147" s="75"/>
      <c r="C147" s="78"/>
      <c r="D147" s="146" t="s">
        <v>153</v>
      </c>
      <c r="E147" s="60">
        <v>65</v>
      </c>
      <c r="F147" s="124">
        <v>0</v>
      </c>
      <c r="G147" s="64">
        <f t="shared" si="283"/>
        <v>65</v>
      </c>
      <c r="H147" s="125" t="s">
        <v>124</v>
      </c>
      <c r="I147" s="90">
        <f>0.018*11.5</f>
        <v>0.20699999999999999</v>
      </c>
      <c r="J147" s="91">
        <f t="shared" si="284"/>
        <v>13.455</v>
      </c>
      <c r="K147" s="92">
        <f>'LABOR SHEET'!C$3</f>
        <v>36</v>
      </c>
      <c r="L147" s="93">
        <f t="shared" si="285"/>
        <v>7.452</v>
      </c>
      <c r="M147" s="93">
        <f t="shared" si="286"/>
        <v>484.38</v>
      </c>
      <c r="N147" s="93">
        <f>1.4*11.5</f>
        <v>16.100000000000001</v>
      </c>
      <c r="O147" s="93">
        <f t="shared" si="287"/>
        <v>1046.5</v>
      </c>
      <c r="P147" s="93">
        <f t="shared" si="288"/>
        <v>23.552</v>
      </c>
      <c r="Q147" s="112">
        <f t="shared" si="289"/>
        <v>1530.88</v>
      </c>
      <c r="R147" s="105"/>
      <c r="S147" s="105"/>
    </row>
    <row r="148" spans="1:19" s="28" customFormat="1">
      <c r="A148" s="55">
        <f>IF(F148&lt;&gt;"",1+MAX($A$2:A147),"")</f>
        <v>89</v>
      </c>
      <c r="B148" s="75"/>
      <c r="C148" s="78"/>
      <c r="D148" s="146" t="s">
        <v>154</v>
      </c>
      <c r="E148" s="60">
        <v>216</v>
      </c>
      <c r="F148" s="124">
        <v>0</v>
      </c>
      <c r="G148" s="64">
        <f t="shared" si="283"/>
        <v>216</v>
      </c>
      <c r="H148" s="125" t="s">
        <v>124</v>
      </c>
      <c r="I148" s="90">
        <f>0.018*11.5</f>
        <v>0.20699999999999999</v>
      </c>
      <c r="J148" s="91">
        <f t="shared" si="284"/>
        <v>44.712000000000003</v>
      </c>
      <c r="K148" s="92">
        <f>'LABOR SHEET'!C$3</f>
        <v>36</v>
      </c>
      <c r="L148" s="93">
        <f t="shared" si="285"/>
        <v>7.452</v>
      </c>
      <c r="M148" s="93">
        <f t="shared" si="286"/>
        <v>1609.6320000000001</v>
      </c>
      <c r="N148" s="93">
        <f>1.4*11.5</f>
        <v>16.100000000000001</v>
      </c>
      <c r="O148" s="93">
        <f t="shared" si="287"/>
        <v>3477.6</v>
      </c>
      <c r="P148" s="93">
        <f t="shared" si="288"/>
        <v>23.552</v>
      </c>
      <c r="Q148" s="112">
        <f t="shared" si="289"/>
        <v>5087.232</v>
      </c>
      <c r="R148" s="105"/>
      <c r="S148" s="105"/>
    </row>
    <row r="149" spans="1:19" s="28" customFormat="1">
      <c r="A149" s="55">
        <f>IF(F149&lt;&gt;"",1+MAX($A$2:A148),"")</f>
        <v>90</v>
      </c>
      <c r="B149" s="75"/>
      <c r="C149" s="56"/>
      <c r="D149" s="146" t="s">
        <v>155</v>
      </c>
      <c r="E149" s="60">
        <v>390</v>
      </c>
      <c r="F149" s="124">
        <v>0</v>
      </c>
      <c r="G149" s="64">
        <f t="shared" si="283"/>
        <v>390</v>
      </c>
      <c r="H149" s="125" t="s">
        <v>124</v>
      </c>
      <c r="I149" s="90">
        <f>0.018*11.5</f>
        <v>0.20699999999999999</v>
      </c>
      <c r="J149" s="91">
        <f t="shared" si="284"/>
        <v>80.73</v>
      </c>
      <c r="K149" s="92">
        <f>'LABOR SHEET'!C$3</f>
        <v>36</v>
      </c>
      <c r="L149" s="93">
        <f t="shared" si="285"/>
        <v>7.452</v>
      </c>
      <c r="M149" s="93">
        <f t="shared" si="286"/>
        <v>2906.28</v>
      </c>
      <c r="N149" s="93">
        <f>1.4*11.5</f>
        <v>16.100000000000001</v>
      </c>
      <c r="O149" s="93">
        <f t="shared" si="287"/>
        <v>6279</v>
      </c>
      <c r="P149" s="93">
        <f t="shared" si="288"/>
        <v>23.552</v>
      </c>
      <c r="Q149" s="112">
        <f t="shared" si="289"/>
        <v>9185.2800000000007</v>
      </c>
      <c r="R149" s="105"/>
      <c r="S149" s="105"/>
    </row>
    <row r="150" spans="1:19" s="28" customFormat="1">
      <c r="A150" s="55">
        <f>IF(F150&lt;&gt;"",1+MAX($A$2:A149),"")</f>
        <v>91</v>
      </c>
      <c r="B150" s="75"/>
      <c r="C150" s="78"/>
      <c r="D150" s="146" t="s">
        <v>156</v>
      </c>
      <c r="E150" s="60">
        <v>16</v>
      </c>
      <c r="F150" s="124">
        <v>0</v>
      </c>
      <c r="G150" s="64">
        <f t="shared" si="283"/>
        <v>16</v>
      </c>
      <c r="H150" s="125" t="s">
        <v>124</v>
      </c>
      <c r="I150" s="90">
        <f>0.024*11.5</f>
        <v>0.27600000000000002</v>
      </c>
      <c r="J150" s="91">
        <f t="shared" si="284"/>
        <v>4.4160000000000004</v>
      </c>
      <c r="K150" s="92">
        <f>'LABOR SHEET'!C$3</f>
        <v>36</v>
      </c>
      <c r="L150" s="93">
        <f t="shared" si="285"/>
        <v>9.9359999999999999</v>
      </c>
      <c r="M150" s="93">
        <f t="shared" si="286"/>
        <v>158.976</v>
      </c>
      <c r="N150" s="93">
        <f>2.7*11.5</f>
        <v>31.05</v>
      </c>
      <c r="O150" s="93">
        <f t="shared" si="287"/>
        <v>496.8</v>
      </c>
      <c r="P150" s="93">
        <f t="shared" si="288"/>
        <v>40.985999999999997</v>
      </c>
      <c r="Q150" s="112">
        <f t="shared" si="289"/>
        <v>655.77599999999995</v>
      </c>
      <c r="R150" s="105"/>
      <c r="S150" s="105"/>
    </row>
    <row r="151" spans="1:19" s="28" customFormat="1">
      <c r="A151" s="55">
        <f>IF(F151&lt;&gt;"",1+MAX($A$2:A150),"")</f>
        <v>92</v>
      </c>
      <c r="B151" s="75"/>
      <c r="C151" s="78"/>
      <c r="D151" s="144" t="s">
        <v>157</v>
      </c>
      <c r="E151" s="60">
        <v>18</v>
      </c>
      <c r="F151" s="124">
        <v>0</v>
      </c>
      <c r="G151" s="64">
        <f t="shared" si="283"/>
        <v>18</v>
      </c>
      <c r="H151" s="125" t="s">
        <v>124</v>
      </c>
      <c r="I151" s="90">
        <f>0.169*11.5</f>
        <v>1.9435</v>
      </c>
      <c r="J151" s="91">
        <f t="shared" si="284"/>
        <v>34.982999999999997</v>
      </c>
      <c r="K151" s="92">
        <f>'LABOR SHEET'!C$3</f>
        <v>36</v>
      </c>
      <c r="L151" s="93">
        <f t="shared" si="285"/>
        <v>69.965999999999994</v>
      </c>
      <c r="M151" s="93">
        <f t="shared" si="286"/>
        <v>1259.3879999999999</v>
      </c>
      <c r="N151" s="93">
        <f>160.19/12*11.5</f>
        <v>153.51541666666699</v>
      </c>
      <c r="O151" s="93">
        <f t="shared" si="287"/>
        <v>2763.2775000000001</v>
      </c>
      <c r="P151" s="93">
        <f t="shared" si="288"/>
        <v>223.481416666667</v>
      </c>
      <c r="Q151" s="112">
        <f t="shared" si="289"/>
        <v>4022.6655000000001</v>
      </c>
      <c r="R151" s="105"/>
      <c r="S151" s="105"/>
    </row>
    <row r="152" spans="1:19" s="28" customFormat="1">
      <c r="A152" s="55" t="str">
        <f>IF(F152&lt;&gt;"",1+MAX($A$2:A151),"")</f>
        <v/>
      </c>
      <c r="B152" s="75"/>
      <c r="C152" s="78"/>
      <c r="D152" s="144"/>
      <c r="E152" s="60"/>
      <c r="F152" s="124"/>
      <c r="G152" s="145"/>
      <c r="H152" s="125"/>
      <c r="I152" s="90"/>
      <c r="J152" s="91"/>
      <c r="K152" s="92"/>
      <c r="L152" s="93"/>
      <c r="M152" s="93"/>
      <c r="N152" s="93"/>
      <c r="O152" s="93"/>
      <c r="P152" s="93"/>
      <c r="Q152" s="111"/>
      <c r="R152" s="105"/>
      <c r="S152" s="105"/>
    </row>
    <row r="153" spans="1:19" s="28" customFormat="1">
      <c r="A153" s="55" t="str">
        <f>IF(F153&lt;&gt;"",1+MAX($A$2:A152),"")</f>
        <v/>
      </c>
      <c r="B153" s="75"/>
      <c r="C153" s="56"/>
      <c r="D153" s="143" t="s">
        <v>158</v>
      </c>
      <c r="E153" s="60"/>
      <c r="F153" s="124"/>
      <c r="G153" s="145"/>
      <c r="H153" s="125"/>
      <c r="I153" s="101"/>
      <c r="J153" s="101"/>
      <c r="K153" s="101"/>
      <c r="L153" s="101"/>
      <c r="M153" s="101"/>
      <c r="N153" s="101"/>
      <c r="O153" s="101"/>
      <c r="P153" s="101"/>
      <c r="Q153" s="111"/>
      <c r="R153" s="105"/>
      <c r="S153" s="105"/>
    </row>
    <row r="154" spans="1:19" s="28" customFormat="1">
      <c r="A154" s="55">
        <f>IF(F154&lt;&gt;"",1+MAX($A$2:A153),"")</f>
        <v>93</v>
      </c>
      <c r="B154" s="75"/>
      <c r="C154" s="78"/>
      <c r="D154" s="144" t="s">
        <v>159</v>
      </c>
      <c r="E154" s="60">
        <v>17.91</v>
      </c>
      <c r="F154" s="124">
        <v>0.05</v>
      </c>
      <c r="G154" s="64">
        <f t="shared" ref="G154:G168" si="290">(F154*E154)+E154</f>
        <v>18.805499999999999</v>
      </c>
      <c r="H154" s="125" t="s">
        <v>119</v>
      </c>
      <c r="I154" s="90">
        <v>6.5000000000000002E-2</v>
      </c>
      <c r="J154" s="91">
        <f t="shared" ref="J154:J167" si="291">+I154*G154</f>
        <v>1.2223575</v>
      </c>
      <c r="K154" s="92">
        <f>'LABOR SHEET'!C$3</f>
        <v>36</v>
      </c>
      <c r="L154" s="93">
        <f t="shared" ref="L154:L167" si="292">I154*K154</f>
        <v>2.34</v>
      </c>
      <c r="M154" s="93">
        <f t="shared" ref="M154:M167" si="293">K154*J154</f>
        <v>44.004869999999997</v>
      </c>
      <c r="N154" s="93">
        <v>18.989999999999998</v>
      </c>
      <c r="O154" s="93">
        <f t="shared" ref="O154:O167" si="294">N154*G154</f>
        <v>357.116445</v>
      </c>
      <c r="P154" s="93">
        <f t="shared" ref="P154:P167" si="295">(I154*K154)+N154</f>
        <v>21.33</v>
      </c>
      <c r="Q154" s="112">
        <f t="shared" ref="Q154:Q167" si="296">P154*G154</f>
        <v>401.12131499999998</v>
      </c>
      <c r="R154" s="105"/>
      <c r="S154" s="105"/>
    </row>
    <row r="155" spans="1:19" s="28" customFormat="1">
      <c r="A155" s="55">
        <f>IF(F155&lt;&gt;"",1+MAX($A$2:A154),"")</f>
        <v>94</v>
      </c>
      <c r="B155" s="75"/>
      <c r="C155" s="78"/>
      <c r="D155" s="144" t="s">
        <v>160</v>
      </c>
      <c r="E155" s="60">
        <v>5.94</v>
      </c>
      <c r="F155" s="124">
        <v>0.05</v>
      </c>
      <c r="G155" s="64">
        <f t="shared" si="290"/>
        <v>6.2370000000000001</v>
      </c>
      <c r="H155" s="125" t="s">
        <v>119</v>
      </c>
      <c r="I155" s="90">
        <v>0.1</v>
      </c>
      <c r="J155" s="91">
        <f t="shared" si="291"/>
        <v>0.62370000000000003</v>
      </c>
      <c r="K155" s="92">
        <f>'LABOR SHEET'!C$3</f>
        <v>36</v>
      </c>
      <c r="L155" s="93">
        <f t="shared" si="292"/>
        <v>3.6</v>
      </c>
      <c r="M155" s="93">
        <f t="shared" si="293"/>
        <v>22.453199999999999</v>
      </c>
      <c r="N155" s="93">
        <v>23.99</v>
      </c>
      <c r="O155" s="93">
        <f t="shared" si="294"/>
        <v>149.62563</v>
      </c>
      <c r="P155" s="93">
        <f t="shared" si="295"/>
        <v>27.59</v>
      </c>
      <c r="Q155" s="112">
        <f t="shared" si="296"/>
        <v>172.07883000000001</v>
      </c>
      <c r="R155" s="105"/>
      <c r="S155" s="105"/>
    </row>
    <row r="156" spans="1:19" s="28" customFormat="1">
      <c r="A156" s="55">
        <f>IF(F156&lt;&gt;"",1+MAX($A$2:A155),"")</f>
        <v>95</v>
      </c>
      <c r="B156" s="75"/>
      <c r="C156" s="56"/>
      <c r="D156" s="144" t="s">
        <v>161</v>
      </c>
      <c r="E156" s="60">
        <v>427.88</v>
      </c>
      <c r="F156" s="124">
        <v>0.05</v>
      </c>
      <c r="G156" s="64">
        <f t="shared" si="290"/>
        <v>449.274</v>
      </c>
      <c r="H156" s="125" t="s">
        <v>119</v>
      </c>
      <c r="I156" s="90">
        <v>0.22</v>
      </c>
      <c r="J156" s="91">
        <f t="shared" si="291"/>
        <v>98.840280000000007</v>
      </c>
      <c r="K156" s="92">
        <f>'LABOR SHEET'!C$3</f>
        <v>36</v>
      </c>
      <c r="L156" s="93">
        <f t="shared" si="292"/>
        <v>7.92</v>
      </c>
      <c r="M156" s="93">
        <f t="shared" si="293"/>
        <v>3558.2500799999998</v>
      </c>
      <c r="N156" s="93">
        <v>44.14</v>
      </c>
      <c r="O156" s="93">
        <f t="shared" si="294"/>
        <v>19830.95436</v>
      </c>
      <c r="P156" s="93">
        <f t="shared" si="295"/>
        <v>52.06</v>
      </c>
      <c r="Q156" s="112">
        <f t="shared" si="296"/>
        <v>23389.204440000001</v>
      </c>
      <c r="R156" s="105"/>
      <c r="S156" s="105"/>
    </row>
    <row r="157" spans="1:19" s="28" customFormat="1">
      <c r="A157" s="55">
        <f>IF(F157&lt;&gt;"",1+MAX($A$2:A156),"")</f>
        <v>96</v>
      </c>
      <c r="B157" s="75"/>
      <c r="C157" s="78"/>
      <c r="D157" s="144" t="s">
        <v>162</v>
      </c>
      <c r="E157" s="60">
        <v>224.85</v>
      </c>
      <c r="F157" s="124">
        <v>0.05</v>
      </c>
      <c r="G157" s="64">
        <f t="shared" si="290"/>
        <v>236.0925</v>
      </c>
      <c r="H157" s="125" t="s">
        <v>119</v>
      </c>
      <c r="I157" s="90">
        <v>0.112</v>
      </c>
      <c r="J157" s="91">
        <f t="shared" si="291"/>
        <v>26.442360000000001</v>
      </c>
      <c r="K157" s="92">
        <f>'LABOR SHEET'!C$3</f>
        <v>36</v>
      </c>
      <c r="L157" s="93">
        <f t="shared" si="292"/>
        <v>4.032</v>
      </c>
      <c r="M157" s="93">
        <f t="shared" si="293"/>
        <v>951.92496000000006</v>
      </c>
      <c r="N157" s="93">
        <v>31.99</v>
      </c>
      <c r="O157" s="93">
        <f t="shared" si="294"/>
        <v>7552.5990750000001</v>
      </c>
      <c r="P157" s="93">
        <f t="shared" si="295"/>
        <v>36.021999999999998</v>
      </c>
      <c r="Q157" s="112">
        <f t="shared" si="296"/>
        <v>8504.5240350000004</v>
      </c>
      <c r="R157" s="105"/>
      <c r="S157" s="105"/>
    </row>
    <row r="158" spans="1:19" s="28" customFormat="1">
      <c r="A158" s="55">
        <f>IF(F158&lt;&gt;"",1+MAX($A$2:A157),"")</f>
        <v>97</v>
      </c>
      <c r="B158" s="75"/>
      <c r="C158" s="56"/>
      <c r="D158" s="144" t="s">
        <v>163</v>
      </c>
      <c r="E158" s="60">
        <v>54.83</v>
      </c>
      <c r="F158" s="124">
        <v>0.05</v>
      </c>
      <c r="G158" s="64">
        <f t="shared" si="290"/>
        <v>57.5715</v>
      </c>
      <c r="H158" s="125" t="s">
        <v>119</v>
      </c>
      <c r="I158" s="90">
        <v>0.12</v>
      </c>
      <c r="J158" s="91">
        <f t="shared" si="291"/>
        <v>6.9085799999999997</v>
      </c>
      <c r="K158" s="92">
        <f>'LABOR SHEET'!C$3</f>
        <v>36</v>
      </c>
      <c r="L158" s="93">
        <f t="shared" si="292"/>
        <v>4.32</v>
      </c>
      <c r="M158" s="93">
        <f t="shared" si="293"/>
        <v>248.70887999999999</v>
      </c>
      <c r="N158" s="93">
        <v>37.99</v>
      </c>
      <c r="O158" s="93">
        <f t="shared" si="294"/>
        <v>2187.1412850000002</v>
      </c>
      <c r="P158" s="93">
        <f t="shared" si="295"/>
        <v>42.31</v>
      </c>
      <c r="Q158" s="112">
        <f t="shared" si="296"/>
        <v>2435.8501649999998</v>
      </c>
      <c r="R158" s="105"/>
      <c r="S158" s="105"/>
    </row>
    <row r="159" spans="1:19" s="28" customFormat="1">
      <c r="A159" s="55">
        <f>IF(F159&lt;&gt;"",1+MAX($A$2:A158),"")</f>
        <v>98</v>
      </c>
      <c r="B159" s="75"/>
      <c r="C159" s="78"/>
      <c r="D159" s="144" t="s">
        <v>164</v>
      </c>
      <c r="E159" s="60">
        <v>85.12</v>
      </c>
      <c r="F159" s="124">
        <v>0.05</v>
      </c>
      <c r="G159" s="64">
        <f t="shared" si="290"/>
        <v>89.376000000000005</v>
      </c>
      <c r="H159" s="125" t="s">
        <v>119</v>
      </c>
      <c r="I159" s="90">
        <v>0.14199999999999999</v>
      </c>
      <c r="J159" s="91">
        <f t="shared" si="291"/>
        <v>12.691392</v>
      </c>
      <c r="K159" s="92">
        <f>'LABOR SHEET'!C$3</f>
        <v>36</v>
      </c>
      <c r="L159" s="93">
        <f t="shared" si="292"/>
        <v>5.1120000000000001</v>
      </c>
      <c r="M159" s="93">
        <f t="shared" si="293"/>
        <v>456.89011199999999</v>
      </c>
      <c r="N159" s="93">
        <v>44.99</v>
      </c>
      <c r="O159" s="93">
        <f t="shared" si="294"/>
        <v>4021.0262400000001</v>
      </c>
      <c r="P159" s="93">
        <f t="shared" si="295"/>
        <v>50.101999999999997</v>
      </c>
      <c r="Q159" s="112">
        <f t="shared" si="296"/>
        <v>4477.9163520000002</v>
      </c>
      <c r="R159" s="105"/>
      <c r="S159" s="105"/>
    </row>
    <row r="160" spans="1:19" s="28" customFormat="1">
      <c r="A160" s="55">
        <f>IF(F160&lt;&gt;"",1+MAX($A$2:A159),"")</f>
        <v>99</v>
      </c>
      <c r="B160" s="75"/>
      <c r="C160" s="56"/>
      <c r="D160" s="144" t="s">
        <v>165</v>
      </c>
      <c r="E160" s="60">
        <v>13.14</v>
      </c>
      <c r="F160" s="124">
        <v>0.05</v>
      </c>
      <c r="G160" s="64">
        <f t="shared" si="290"/>
        <v>13.797000000000001</v>
      </c>
      <c r="H160" s="125" t="s">
        <v>119</v>
      </c>
      <c r="I160" s="90">
        <v>0.16900000000000001</v>
      </c>
      <c r="J160" s="91">
        <f t="shared" si="291"/>
        <v>2.331693</v>
      </c>
      <c r="K160" s="92">
        <f>'LABOR SHEET'!C$3</f>
        <v>36</v>
      </c>
      <c r="L160" s="93">
        <f t="shared" si="292"/>
        <v>6.0839999999999996</v>
      </c>
      <c r="M160" s="93">
        <f t="shared" si="293"/>
        <v>83.940948000000006</v>
      </c>
      <c r="N160" s="93">
        <v>50.99</v>
      </c>
      <c r="O160" s="93">
        <f t="shared" si="294"/>
        <v>703.50903000000005</v>
      </c>
      <c r="P160" s="93">
        <f t="shared" si="295"/>
        <v>57.073999999999998</v>
      </c>
      <c r="Q160" s="112">
        <f t="shared" si="296"/>
        <v>787.44997799999999</v>
      </c>
      <c r="R160" s="105"/>
      <c r="S160" s="105"/>
    </row>
    <row r="161" spans="1:19" s="28" customFormat="1">
      <c r="A161" s="55">
        <f>IF(F161&lt;&gt;"",1+MAX($A$2:A160),"")</f>
        <v>100</v>
      </c>
      <c r="B161" s="75"/>
      <c r="C161" s="78"/>
      <c r="D161" s="144" t="s">
        <v>166</v>
      </c>
      <c r="E161" s="60">
        <v>179.26</v>
      </c>
      <c r="F161" s="124">
        <v>0.05</v>
      </c>
      <c r="G161" s="64">
        <f t="shared" si="290"/>
        <v>188.22300000000001</v>
      </c>
      <c r="H161" s="125" t="s">
        <v>119</v>
      </c>
      <c r="I161" s="90">
        <v>0.187</v>
      </c>
      <c r="J161" s="91">
        <f t="shared" si="291"/>
        <v>35.197701000000002</v>
      </c>
      <c r="K161" s="92">
        <f>'LABOR SHEET'!C$3</f>
        <v>36</v>
      </c>
      <c r="L161" s="93">
        <f t="shared" si="292"/>
        <v>6.7320000000000002</v>
      </c>
      <c r="M161" s="93">
        <f t="shared" si="293"/>
        <v>1267.117236</v>
      </c>
      <c r="N161" s="93">
        <v>60</v>
      </c>
      <c r="O161" s="93">
        <f t="shared" si="294"/>
        <v>11293.38</v>
      </c>
      <c r="P161" s="93">
        <f t="shared" si="295"/>
        <v>66.731999999999999</v>
      </c>
      <c r="Q161" s="112">
        <f t="shared" si="296"/>
        <v>12560.497235999999</v>
      </c>
      <c r="R161" s="105"/>
      <c r="S161" s="105"/>
    </row>
    <row r="162" spans="1:19" s="28" customFormat="1">
      <c r="A162" s="55">
        <f>IF(F162&lt;&gt;"",1+MAX($A$2:A161),"")</f>
        <v>101</v>
      </c>
      <c r="B162" s="75"/>
      <c r="C162" s="78"/>
      <c r="D162" s="144" t="s">
        <v>167</v>
      </c>
      <c r="E162" s="60">
        <v>168.86</v>
      </c>
      <c r="F162" s="124">
        <v>0.05</v>
      </c>
      <c r="G162" s="64">
        <f t="shared" si="290"/>
        <v>177.303</v>
      </c>
      <c r="H162" s="125" t="s">
        <v>119</v>
      </c>
      <c r="I162" s="90">
        <v>0.14399999999999999</v>
      </c>
      <c r="J162" s="91">
        <f t="shared" si="291"/>
        <v>25.531631999999998</v>
      </c>
      <c r="K162" s="92">
        <f>'LABOR SHEET'!C$3</f>
        <v>36</v>
      </c>
      <c r="L162" s="93">
        <f t="shared" si="292"/>
        <v>5.1840000000000002</v>
      </c>
      <c r="M162" s="93">
        <f t="shared" si="293"/>
        <v>919.13875199999995</v>
      </c>
      <c r="N162" s="93">
        <v>10.77</v>
      </c>
      <c r="O162" s="93">
        <f t="shared" si="294"/>
        <v>1909.55331</v>
      </c>
      <c r="P162" s="93">
        <f t="shared" si="295"/>
        <v>15.954000000000001</v>
      </c>
      <c r="Q162" s="112">
        <f t="shared" si="296"/>
        <v>2828.6920620000001</v>
      </c>
      <c r="R162" s="105"/>
      <c r="S162" s="105"/>
    </row>
    <row r="163" spans="1:19" s="28" customFormat="1">
      <c r="A163" s="55">
        <f>IF(F163&lt;&gt;"",1+MAX($A$2:A162),"")</f>
        <v>102</v>
      </c>
      <c r="B163" s="75"/>
      <c r="C163" s="56"/>
      <c r="D163" s="144" t="s">
        <v>168</v>
      </c>
      <c r="E163" s="60">
        <v>32.768376000000004</v>
      </c>
      <c r="F163" s="124">
        <v>0.05</v>
      </c>
      <c r="G163" s="64">
        <f t="shared" si="290"/>
        <v>34.4067948</v>
      </c>
      <c r="H163" s="125" t="s">
        <v>119</v>
      </c>
      <c r="I163" s="90">
        <v>0.11</v>
      </c>
      <c r="J163" s="91">
        <f t="shared" si="291"/>
        <v>3.7847474280000002</v>
      </c>
      <c r="K163" s="92">
        <f>'LABOR SHEET'!C$3</f>
        <v>36</v>
      </c>
      <c r="L163" s="93">
        <f t="shared" si="292"/>
        <v>3.96</v>
      </c>
      <c r="M163" s="93">
        <f t="shared" si="293"/>
        <v>136.25090740799999</v>
      </c>
      <c r="N163" s="93">
        <v>6.99</v>
      </c>
      <c r="O163" s="93">
        <f t="shared" si="294"/>
        <v>240.503495652</v>
      </c>
      <c r="P163" s="93">
        <f t="shared" si="295"/>
        <v>10.95</v>
      </c>
      <c r="Q163" s="112">
        <f t="shared" si="296"/>
        <v>376.75440306000002</v>
      </c>
      <c r="R163" s="105"/>
      <c r="S163" s="105"/>
    </row>
    <row r="164" spans="1:19" s="28" customFormat="1">
      <c r="A164" s="55">
        <f>IF(F164&lt;&gt;"",1+MAX($A$2:A163),"")</f>
        <v>103</v>
      </c>
      <c r="B164" s="75"/>
      <c r="C164" s="78"/>
      <c r="D164" s="144" t="s">
        <v>169</v>
      </c>
      <c r="E164" s="60">
        <v>264.71342399999997</v>
      </c>
      <c r="F164" s="124">
        <v>0.05</v>
      </c>
      <c r="G164" s="64">
        <f t="shared" si="290"/>
        <v>277.94909519999999</v>
      </c>
      <c r="H164" s="125" t="s">
        <v>119</v>
      </c>
      <c r="I164" s="90">
        <v>0.06</v>
      </c>
      <c r="J164" s="91">
        <f t="shared" si="291"/>
        <v>16.676945711999998</v>
      </c>
      <c r="K164" s="92">
        <f>'LABOR SHEET'!C$3</f>
        <v>36</v>
      </c>
      <c r="L164" s="93">
        <f t="shared" si="292"/>
        <v>2.16</v>
      </c>
      <c r="M164" s="93">
        <f t="shared" si="293"/>
        <v>600.37004563200003</v>
      </c>
      <c r="N164" s="93">
        <v>8.99</v>
      </c>
      <c r="O164" s="93">
        <f t="shared" si="294"/>
        <v>2498.7623658480002</v>
      </c>
      <c r="P164" s="93">
        <f t="shared" si="295"/>
        <v>11.15</v>
      </c>
      <c r="Q164" s="112">
        <f t="shared" si="296"/>
        <v>3099.13241148</v>
      </c>
      <c r="R164" s="105"/>
      <c r="S164" s="105"/>
    </row>
    <row r="165" spans="1:19" s="28" customFormat="1">
      <c r="A165" s="55">
        <f>IF(F165&lt;&gt;"",1+MAX($A$2:A164),"")</f>
        <v>104</v>
      </c>
      <c r="B165" s="75"/>
      <c r="C165" s="56"/>
      <c r="D165" s="144" t="s">
        <v>170</v>
      </c>
      <c r="E165" s="60">
        <v>403.5</v>
      </c>
      <c r="F165" s="124">
        <v>0.05</v>
      </c>
      <c r="G165" s="64">
        <f t="shared" si="290"/>
        <v>423.67500000000001</v>
      </c>
      <c r="H165" s="125" t="s">
        <v>119</v>
      </c>
      <c r="I165" s="90">
        <v>0.02</v>
      </c>
      <c r="J165" s="91">
        <f t="shared" si="291"/>
        <v>8.4734999999999996</v>
      </c>
      <c r="K165" s="92">
        <f>'LABOR SHEET'!C$3</f>
        <v>36</v>
      </c>
      <c r="L165" s="93">
        <f t="shared" si="292"/>
        <v>0.72</v>
      </c>
      <c r="M165" s="93">
        <f t="shared" si="293"/>
        <v>305.04599999999999</v>
      </c>
      <c r="N165" s="93">
        <v>1.7</v>
      </c>
      <c r="O165" s="93">
        <f t="shared" si="294"/>
        <v>720.24749999999995</v>
      </c>
      <c r="P165" s="93">
        <f t="shared" si="295"/>
        <v>2.42</v>
      </c>
      <c r="Q165" s="112">
        <f t="shared" si="296"/>
        <v>1025.2935</v>
      </c>
      <c r="R165" s="105"/>
      <c r="S165" s="105"/>
    </row>
    <row r="166" spans="1:19" s="28" customFormat="1">
      <c r="A166" s="55">
        <f>IF(F166&lt;&gt;"",1+MAX($A$2:A165),"")</f>
        <v>105</v>
      </c>
      <c r="B166" s="75"/>
      <c r="C166" s="78"/>
      <c r="D166" s="144" t="s">
        <v>171</v>
      </c>
      <c r="E166" s="60">
        <v>114.54</v>
      </c>
      <c r="F166" s="124">
        <v>0.05</v>
      </c>
      <c r="G166" s="64">
        <f t="shared" si="290"/>
        <v>120.267</v>
      </c>
      <c r="H166" s="125" t="s">
        <v>119</v>
      </c>
      <c r="I166" s="90">
        <v>2.1999999999999999E-2</v>
      </c>
      <c r="J166" s="91">
        <f t="shared" si="291"/>
        <v>2.6458740000000001</v>
      </c>
      <c r="K166" s="92">
        <f>'LABOR SHEET'!C$3</f>
        <v>36</v>
      </c>
      <c r="L166" s="93">
        <f t="shared" si="292"/>
        <v>0.79200000000000004</v>
      </c>
      <c r="M166" s="93">
        <f t="shared" si="293"/>
        <v>95.251463999999999</v>
      </c>
      <c r="N166" s="93">
        <v>2.2000000000000002</v>
      </c>
      <c r="O166" s="93">
        <f t="shared" si="294"/>
        <v>264.5874</v>
      </c>
      <c r="P166" s="93">
        <f t="shared" si="295"/>
        <v>2.992</v>
      </c>
      <c r="Q166" s="112">
        <f t="shared" si="296"/>
        <v>359.838864</v>
      </c>
      <c r="R166" s="105"/>
      <c r="S166" s="105"/>
    </row>
    <row r="167" spans="1:19" s="28" customFormat="1">
      <c r="A167" s="55">
        <f>IF(F167&lt;&gt;"",1+MAX($A$2:A166),"")</f>
        <v>106</v>
      </c>
      <c r="B167" s="75"/>
      <c r="C167" s="78"/>
      <c r="D167" s="144" t="s">
        <v>172</v>
      </c>
      <c r="E167" s="60">
        <v>14.94</v>
      </c>
      <c r="F167" s="124">
        <v>0.05</v>
      </c>
      <c r="G167" s="64">
        <f t="shared" si="290"/>
        <v>15.686999999999999</v>
      </c>
      <c r="H167" s="125" t="s">
        <v>119</v>
      </c>
      <c r="I167" s="90">
        <v>2.4E-2</v>
      </c>
      <c r="J167" s="91">
        <f t="shared" si="291"/>
        <v>0.37648799999999999</v>
      </c>
      <c r="K167" s="92">
        <f>'LABOR SHEET'!C$3</f>
        <v>36</v>
      </c>
      <c r="L167" s="93">
        <f t="shared" si="292"/>
        <v>0.86399999999999999</v>
      </c>
      <c r="M167" s="93">
        <f t="shared" si="293"/>
        <v>13.553568</v>
      </c>
      <c r="N167" s="93">
        <v>2.7</v>
      </c>
      <c r="O167" s="93">
        <f t="shared" si="294"/>
        <v>42.354900000000001</v>
      </c>
      <c r="P167" s="93">
        <f t="shared" si="295"/>
        <v>3.5640000000000001</v>
      </c>
      <c r="Q167" s="112">
        <f t="shared" si="296"/>
        <v>55.908467999999999</v>
      </c>
      <c r="R167" s="105"/>
      <c r="S167" s="105"/>
    </row>
    <row r="168" spans="1:19" s="28" customFormat="1">
      <c r="A168" s="55">
        <f>IF(F168&lt;&gt;"",1+MAX($A$2:A167),"")</f>
        <v>107</v>
      </c>
      <c r="B168" s="75"/>
      <c r="C168" s="78"/>
      <c r="D168" s="144" t="s">
        <v>173</v>
      </c>
      <c r="E168" s="60">
        <v>243.80799999999999</v>
      </c>
      <c r="F168" s="124">
        <v>0.05</v>
      </c>
      <c r="G168" s="64">
        <f t="shared" si="290"/>
        <v>255.9984</v>
      </c>
      <c r="H168" s="125" t="s">
        <v>119</v>
      </c>
      <c r="I168" s="90">
        <v>2.1999999999999999E-2</v>
      </c>
      <c r="J168" s="91">
        <f t="shared" ref="J168" si="297">+I168*G168</f>
        <v>5.6319648000000004</v>
      </c>
      <c r="K168" s="92">
        <f>'LABOR SHEET'!C$3</f>
        <v>36</v>
      </c>
      <c r="L168" s="93">
        <f t="shared" ref="L168" si="298">I168*K168</f>
        <v>0.79200000000000004</v>
      </c>
      <c r="M168" s="93">
        <f t="shared" ref="M168" si="299">K168*J168</f>
        <v>202.75073280000001</v>
      </c>
      <c r="N168" s="93">
        <v>2.2000000000000002</v>
      </c>
      <c r="O168" s="93">
        <f t="shared" ref="O168" si="300">N168*G168</f>
        <v>563.19647999999995</v>
      </c>
      <c r="P168" s="93">
        <f t="shared" ref="P168" si="301">(I168*K168)+N168</f>
        <v>2.992</v>
      </c>
      <c r="Q168" s="112">
        <f t="shared" ref="Q168" si="302">P168*G168</f>
        <v>765.94721279999999</v>
      </c>
      <c r="R168" s="105"/>
      <c r="S168" s="105"/>
    </row>
    <row r="169" spans="1:19" s="28" customFormat="1">
      <c r="A169" s="55" t="str">
        <f>IF(F169&lt;&gt;"",1+MAX($A$2:A168),"")</f>
        <v/>
      </c>
      <c r="B169" s="71"/>
      <c r="C169" s="66"/>
      <c r="D169" s="144"/>
      <c r="E169" s="73"/>
      <c r="F169" s="124"/>
      <c r="G169" s="145"/>
      <c r="H169" s="125"/>
      <c r="I169" s="90"/>
      <c r="J169" s="91"/>
      <c r="K169" s="92"/>
      <c r="L169" s="93"/>
      <c r="M169" s="93"/>
      <c r="N169" s="93"/>
      <c r="O169" s="93"/>
      <c r="P169" s="93"/>
      <c r="Q169" s="111"/>
      <c r="R169" s="105"/>
      <c r="S169" s="105"/>
    </row>
    <row r="170" spans="1:19" s="28" customFormat="1">
      <c r="A170" s="55" t="str">
        <f>IF(F170&lt;&gt;"",1+MAX($A$2:A169),"")</f>
        <v/>
      </c>
      <c r="B170" s="75"/>
      <c r="C170" s="56"/>
      <c r="D170" s="143" t="s">
        <v>174</v>
      </c>
      <c r="E170" s="60"/>
      <c r="F170" s="145"/>
      <c r="G170" s="145"/>
      <c r="H170" s="125"/>
      <c r="I170" s="99"/>
      <c r="J170" s="60"/>
      <c r="K170" s="101"/>
      <c r="L170" s="101"/>
      <c r="M170" s="101"/>
      <c r="N170" s="101"/>
      <c r="O170" s="101"/>
      <c r="P170" s="101"/>
      <c r="Q170" s="111"/>
      <c r="R170" s="105"/>
      <c r="S170" s="105"/>
    </row>
    <row r="171" spans="1:19" s="28" customFormat="1">
      <c r="A171" s="55">
        <f>IF(F171&lt;&gt;"",1+MAX($A$2:A170),"")</f>
        <v>108</v>
      </c>
      <c r="B171" s="75"/>
      <c r="C171" s="78"/>
      <c r="D171" s="144" t="s">
        <v>175</v>
      </c>
      <c r="E171" s="60">
        <v>288.87</v>
      </c>
      <c r="F171" s="124">
        <v>0.05</v>
      </c>
      <c r="G171" s="64">
        <f t="shared" ref="G171" si="303">(F171*E171)+E171</f>
        <v>303.31349999999998</v>
      </c>
      <c r="H171" s="125" t="s">
        <v>119</v>
      </c>
      <c r="I171" s="90">
        <v>8.5999999999999993E-2</v>
      </c>
      <c r="J171" s="91">
        <f t="shared" ref="J171" si="304">+I171*G171</f>
        <v>26.084961</v>
      </c>
      <c r="K171" s="92">
        <f>'LABOR SHEET'!C$3</f>
        <v>36</v>
      </c>
      <c r="L171" s="93">
        <f t="shared" ref="L171" si="305">I171*K171</f>
        <v>3.0960000000000001</v>
      </c>
      <c r="M171" s="93">
        <f t="shared" ref="M171" si="306">K171*J171</f>
        <v>939.05859599999997</v>
      </c>
      <c r="N171" s="93">
        <v>7.65</v>
      </c>
      <c r="O171" s="93">
        <f t="shared" ref="O171" si="307">N171*G171</f>
        <v>2320.3482749999998</v>
      </c>
      <c r="P171" s="93">
        <f t="shared" ref="P171" si="308">(I171*K171)+N171</f>
        <v>10.746</v>
      </c>
      <c r="Q171" s="112">
        <f t="shared" ref="Q171" si="309">P171*G171</f>
        <v>3259.4068710000001</v>
      </c>
      <c r="R171" s="105"/>
      <c r="S171" s="105"/>
    </row>
    <row r="172" spans="1:19" s="28" customFormat="1">
      <c r="A172" s="55" t="str">
        <f>IF(F172&lt;&gt;"",1+MAX($A$2:A171),"")</f>
        <v/>
      </c>
      <c r="B172" s="75"/>
      <c r="C172" s="78"/>
      <c r="D172" s="144"/>
      <c r="E172" s="60"/>
      <c r="F172" s="124"/>
      <c r="G172" s="145"/>
      <c r="H172" s="125"/>
      <c r="I172" s="90"/>
      <c r="J172" s="91"/>
      <c r="K172" s="92"/>
      <c r="L172" s="93"/>
      <c r="M172" s="93"/>
      <c r="N172" s="93"/>
      <c r="O172" s="93"/>
      <c r="P172" s="93"/>
      <c r="Q172" s="112"/>
      <c r="R172" s="105"/>
      <c r="S172" s="105"/>
    </row>
    <row r="173" spans="1:19" s="28" customFormat="1">
      <c r="A173" s="55" t="str">
        <f>IF(F173&lt;&gt;"",1+MAX($A$2:A172),"")</f>
        <v/>
      </c>
      <c r="B173" s="75"/>
      <c r="C173" s="56"/>
      <c r="D173" s="143" t="s">
        <v>176</v>
      </c>
      <c r="E173" s="60"/>
      <c r="F173" s="145"/>
      <c r="G173" s="145"/>
      <c r="H173" s="125"/>
      <c r="I173" s="99"/>
      <c r="J173" s="60"/>
      <c r="K173" s="101"/>
      <c r="L173" s="101"/>
      <c r="M173" s="101"/>
      <c r="N173" s="101"/>
      <c r="O173" s="101"/>
      <c r="P173" s="101"/>
      <c r="Q173" s="111"/>
      <c r="R173" s="105"/>
      <c r="S173" s="105"/>
    </row>
    <row r="174" spans="1:19" s="28" customFormat="1">
      <c r="A174" s="55">
        <f>IF(F174&lt;&gt;"",1+MAX($A$2:A173),"")</f>
        <v>109</v>
      </c>
      <c r="B174" s="75"/>
      <c r="C174" s="78"/>
      <c r="D174" s="144" t="s">
        <v>177</v>
      </c>
      <c r="E174" s="60">
        <v>2281.4</v>
      </c>
      <c r="F174" s="124">
        <v>0.1</v>
      </c>
      <c r="G174" s="64">
        <f t="shared" ref="G174" si="310">(F174*E174)+E174</f>
        <v>2509.54</v>
      </c>
      <c r="H174" s="125" t="s">
        <v>67</v>
      </c>
      <c r="I174" s="90">
        <f>0.016+0.004</f>
        <v>0.02</v>
      </c>
      <c r="J174" s="91">
        <f t="shared" ref="J174" si="311">+I174*G174</f>
        <v>50.190800000000003</v>
      </c>
      <c r="K174" s="92">
        <f>'LABOR SHEET'!C$3</f>
        <v>36</v>
      </c>
      <c r="L174" s="93">
        <f t="shared" ref="L174" si="312">I174*K174</f>
        <v>0.72</v>
      </c>
      <c r="M174" s="93">
        <f t="shared" ref="M174" si="313">K174*J174</f>
        <v>1806.8688</v>
      </c>
      <c r="N174" s="93">
        <f>26.09/32+0.03</f>
        <v>0.84531250000000002</v>
      </c>
      <c r="O174" s="93">
        <f t="shared" ref="O174" si="314">N174*G174</f>
        <v>2121.34553125</v>
      </c>
      <c r="P174" s="93">
        <f t="shared" ref="P174" si="315">(I174*K174)+N174</f>
        <v>1.5653125000000001</v>
      </c>
      <c r="Q174" s="112">
        <f t="shared" ref="Q174" si="316">P174*G174</f>
        <v>3928.2143312500002</v>
      </c>
      <c r="R174" s="105"/>
      <c r="S174" s="105"/>
    </row>
    <row r="175" spans="1:19" s="28" customFormat="1">
      <c r="A175" s="55" t="str">
        <f>IF(F175&lt;&gt;"",1+MAX($A$2:A174),"")</f>
        <v/>
      </c>
      <c r="B175" s="75"/>
      <c r="C175" s="78"/>
      <c r="D175" s="144"/>
      <c r="E175" s="60"/>
      <c r="F175" s="124"/>
      <c r="G175" s="145"/>
      <c r="H175" s="125"/>
      <c r="I175" s="90"/>
      <c r="J175" s="91"/>
      <c r="K175" s="92"/>
      <c r="L175" s="93"/>
      <c r="M175" s="93"/>
      <c r="N175" s="93"/>
      <c r="O175" s="93"/>
      <c r="P175" s="93"/>
      <c r="Q175" s="112"/>
      <c r="R175" s="105"/>
      <c r="S175" s="105"/>
    </row>
    <row r="176" spans="1:19" s="28" customFormat="1">
      <c r="A176" s="55" t="str">
        <f>IF(F176&lt;&gt;"",1+MAX($A$2:A175),"")</f>
        <v/>
      </c>
      <c r="B176" s="75"/>
      <c r="C176" s="56"/>
      <c r="D176" s="143" t="s">
        <v>178</v>
      </c>
      <c r="E176" s="60"/>
      <c r="F176" s="145"/>
      <c r="G176" s="145"/>
      <c r="H176" s="125"/>
      <c r="I176" s="99"/>
      <c r="J176" s="60"/>
      <c r="K176" s="101"/>
      <c r="L176" s="101"/>
      <c r="M176" s="101"/>
      <c r="N176" s="101"/>
      <c r="O176" s="101"/>
      <c r="P176" s="101"/>
      <c r="Q176" s="111"/>
      <c r="R176" s="105"/>
      <c r="S176" s="105"/>
    </row>
    <row r="177" spans="1:19" s="28" customFormat="1">
      <c r="A177" s="55">
        <f>IF(F177&lt;&gt;"",1+MAX($A$2:A176),"")</f>
        <v>110</v>
      </c>
      <c r="B177" s="75"/>
      <c r="C177" s="78"/>
      <c r="D177" s="144" t="s">
        <v>179</v>
      </c>
      <c r="E177" s="60">
        <v>227</v>
      </c>
      <c r="F177" s="124">
        <v>0.05</v>
      </c>
      <c r="G177" s="64">
        <f t="shared" ref="G177" si="317">(F177*E177)+E177</f>
        <v>238.35</v>
      </c>
      <c r="H177" s="125" t="s">
        <v>119</v>
      </c>
      <c r="I177" s="90">
        <v>0.02</v>
      </c>
      <c r="J177" s="91">
        <f t="shared" ref="J177" si="318">+I177*G177</f>
        <v>4.7670000000000003</v>
      </c>
      <c r="K177" s="92">
        <f>'LABOR SHEET'!C$3</f>
        <v>36</v>
      </c>
      <c r="L177" s="93">
        <f t="shared" ref="L177" si="319">I177*K177</f>
        <v>0.72</v>
      </c>
      <c r="M177" s="93">
        <f t="shared" ref="M177" si="320">K177*J177</f>
        <v>171.61199999999999</v>
      </c>
      <c r="N177" s="93">
        <v>2.2000000000000002</v>
      </c>
      <c r="O177" s="93">
        <f t="shared" ref="O177" si="321">N177*G177</f>
        <v>524.37</v>
      </c>
      <c r="P177" s="93">
        <f t="shared" ref="P177" si="322">(I177*K177)+N177</f>
        <v>2.92</v>
      </c>
      <c r="Q177" s="112">
        <f t="shared" ref="Q177" si="323">P177*G177</f>
        <v>695.98199999999997</v>
      </c>
      <c r="R177" s="105"/>
      <c r="S177" s="105"/>
    </row>
    <row r="178" spans="1:19" s="28" customFormat="1">
      <c r="A178" s="55" t="str">
        <f>IF(F178&lt;&gt;"",1+MAX($A$2:A177),"")</f>
        <v/>
      </c>
      <c r="B178" s="75"/>
      <c r="C178" s="78"/>
      <c r="D178" s="144"/>
      <c r="E178" s="60"/>
      <c r="F178" s="124"/>
      <c r="G178" s="145"/>
      <c r="H178" s="125"/>
      <c r="I178" s="90"/>
      <c r="J178" s="91"/>
      <c r="K178" s="92"/>
      <c r="L178" s="93"/>
      <c r="M178" s="93"/>
      <c r="N178" s="93"/>
      <c r="O178" s="93"/>
      <c r="P178" s="93"/>
      <c r="Q178" s="112"/>
      <c r="R178" s="105"/>
      <c r="S178" s="105"/>
    </row>
    <row r="179" spans="1:19" s="28" customFormat="1">
      <c r="A179" s="55" t="str">
        <f>IF(F179&lt;&gt;"",1+MAX($A$2:A178),"")</f>
        <v/>
      </c>
      <c r="B179" s="75"/>
      <c r="C179" s="56"/>
      <c r="D179" s="143" t="s">
        <v>180</v>
      </c>
      <c r="E179" s="60"/>
      <c r="F179" s="145"/>
      <c r="G179" s="145"/>
      <c r="H179" s="125"/>
      <c r="I179" s="99"/>
      <c r="J179" s="60"/>
      <c r="K179" s="101"/>
      <c r="L179" s="101"/>
      <c r="M179" s="101"/>
      <c r="N179" s="101"/>
      <c r="O179" s="101"/>
      <c r="P179" s="101"/>
      <c r="Q179" s="111"/>
      <c r="R179" s="105"/>
      <c r="S179" s="105"/>
    </row>
    <row r="180" spans="1:19" s="28" customFormat="1">
      <c r="A180" s="55">
        <f>IF(F180&lt;&gt;"",1+MAX($A$2:A179),"")</f>
        <v>111</v>
      </c>
      <c r="B180" s="75"/>
      <c r="C180" s="78"/>
      <c r="D180" s="144" t="s">
        <v>181</v>
      </c>
      <c r="E180" s="60">
        <v>414.9</v>
      </c>
      <c r="F180" s="124">
        <v>0.1</v>
      </c>
      <c r="G180" s="64">
        <f t="shared" ref="G180" si="324">(F180*E180)+E180</f>
        <v>456.39</v>
      </c>
      <c r="H180" s="125" t="s">
        <v>67</v>
      </c>
      <c r="I180" s="90">
        <v>0.1</v>
      </c>
      <c r="J180" s="91">
        <f t="shared" ref="J180" si="325">+I180*G180</f>
        <v>45.639000000000003</v>
      </c>
      <c r="K180" s="92">
        <f>'LABOR SHEET'!C$3</f>
        <v>36</v>
      </c>
      <c r="L180" s="93">
        <f t="shared" ref="L180" si="326">I180*K180</f>
        <v>3.6</v>
      </c>
      <c r="M180" s="93">
        <f t="shared" ref="M180" si="327">K180*J180</f>
        <v>1643.0039999999999</v>
      </c>
      <c r="N180" s="93">
        <v>6.66</v>
      </c>
      <c r="O180" s="93">
        <f t="shared" ref="O180" si="328">N180*G180</f>
        <v>3039.5574000000001</v>
      </c>
      <c r="P180" s="93">
        <f t="shared" ref="P180" si="329">(I180*K180)+N180</f>
        <v>10.26</v>
      </c>
      <c r="Q180" s="112">
        <f t="shared" ref="Q180" si="330">P180*G180</f>
        <v>4682.5613999999996</v>
      </c>
      <c r="R180" s="105"/>
      <c r="S180" s="105"/>
    </row>
    <row r="181" spans="1:19" s="28" customFormat="1">
      <c r="A181" s="55" t="str">
        <f>IF(F181&lt;&gt;"",1+MAX($A$2:A180),"")</f>
        <v/>
      </c>
      <c r="B181" s="75"/>
      <c r="C181" s="78"/>
      <c r="D181" s="144"/>
      <c r="E181" s="60"/>
      <c r="F181" s="124"/>
      <c r="G181" s="145"/>
      <c r="H181" s="125"/>
      <c r="I181" s="90"/>
      <c r="J181" s="91"/>
      <c r="K181" s="92"/>
      <c r="L181" s="93"/>
      <c r="M181" s="93"/>
      <c r="N181" s="93"/>
      <c r="O181" s="93"/>
      <c r="P181" s="93"/>
      <c r="Q181" s="112"/>
      <c r="R181" s="105"/>
      <c r="S181" s="105"/>
    </row>
    <row r="182" spans="1:19" s="28" customFormat="1">
      <c r="A182" s="55" t="str">
        <f>IF(F182&lt;&gt;"",1+MAX($A$2:A181),"")</f>
        <v/>
      </c>
      <c r="B182" s="75"/>
      <c r="C182" s="56"/>
      <c r="D182" s="143" t="s">
        <v>182</v>
      </c>
      <c r="E182" s="60"/>
      <c r="F182" s="124"/>
      <c r="G182" s="145"/>
      <c r="H182" s="125"/>
      <c r="I182" s="99"/>
      <c r="J182" s="60"/>
      <c r="K182" s="101"/>
      <c r="L182" s="101"/>
      <c r="M182" s="101"/>
      <c r="N182" s="101"/>
      <c r="O182" s="101"/>
      <c r="P182" s="101"/>
      <c r="Q182" s="111"/>
      <c r="R182" s="105"/>
      <c r="S182" s="105"/>
    </row>
    <row r="183" spans="1:19" s="28" customFormat="1">
      <c r="A183" s="55">
        <f>IF(F183&lt;&gt;"",1+MAX($A$2:A182),"")</f>
        <v>112</v>
      </c>
      <c r="B183" s="75"/>
      <c r="C183" s="78"/>
      <c r="D183" s="144" t="s">
        <v>183</v>
      </c>
      <c r="E183" s="60">
        <v>18714</v>
      </c>
      <c r="F183" s="124">
        <v>0.1</v>
      </c>
      <c r="G183" s="64">
        <f t="shared" ref="G183:G188" si="331">(F183*E183)+E183</f>
        <v>20585.400000000001</v>
      </c>
      <c r="H183" s="125" t="s">
        <v>67</v>
      </c>
      <c r="I183" s="90">
        <v>1.7000000000000001E-2</v>
      </c>
      <c r="J183" s="91">
        <f t="shared" ref="J183:J186" si="332">+I183*G183</f>
        <v>349.95179999999999</v>
      </c>
      <c r="K183" s="92">
        <f>'LABOR SHEET'!C$3</f>
        <v>36</v>
      </c>
      <c r="L183" s="93">
        <f t="shared" ref="L183:L186" si="333">I183*K183</f>
        <v>0.61199999999999999</v>
      </c>
      <c r="M183" s="93">
        <f t="shared" ref="M183:M186" si="334">K183*J183</f>
        <v>12598.264800000001</v>
      </c>
      <c r="N183" s="93">
        <f>30.98/32</f>
        <v>0.96812500000000001</v>
      </c>
      <c r="O183" s="93">
        <f t="shared" ref="O183:O186" si="335">N183*G183</f>
        <v>19929.240375000001</v>
      </c>
      <c r="P183" s="93">
        <f t="shared" ref="P183:P186" si="336">(I183*K183)+N183</f>
        <v>1.580125</v>
      </c>
      <c r="Q183" s="112">
        <f t="shared" ref="Q183:Q186" si="337">P183*G183</f>
        <v>32527.505174999998</v>
      </c>
      <c r="R183" s="105"/>
      <c r="S183" s="105"/>
    </row>
    <row r="184" spans="1:19" s="28" customFormat="1">
      <c r="A184" s="55">
        <f>IF(F184&lt;&gt;"",1+MAX($A$2:A183),"")</f>
        <v>113</v>
      </c>
      <c r="B184" s="75"/>
      <c r="C184" s="78"/>
      <c r="D184" s="147" t="s">
        <v>184</v>
      </c>
      <c r="E184" s="148">
        <f>ROUNDUP(E183/32,0)</f>
        <v>585</v>
      </c>
      <c r="F184" s="124">
        <v>0</v>
      </c>
      <c r="G184" s="64">
        <f t="shared" si="331"/>
        <v>585</v>
      </c>
      <c r="H184" s="125" t="s">
        <v>124</v>
      </c>
      <c r="I184" s="90"/>
      <c r="J184" s="91"/>
      <c r="K184" s="92"/>
      <c r="L184" s="93"/>
      <c r="M184" s="93"/>
      <c r="N184" s="93"/>
      <c r="O184" s="93"/>
      <c r="P184" s="93"/>
      <c r="Q184" s="112"/>
      <c r="R184" s="105"/>
      <c r="S184" s="105"/>
    </row>
    <row r="185" spans="1:19" s="28" customFormat="1">
      <c r="A185" s="55">
        <f>IF(F185&lt;&gt;"",1+MAX($A$2:A184),"")</f>
        <v>114</v>
      </c>
      <c r="B185" s="75"/>
      <c r="C185" s="78"/>
      <c r="D185" s="149" t="s">
        <v>185</v>
      </c>
      <c r="E185" s="148">
        <f>E184*93</f>
        <v>54405</v>
      </c>
      <c r="F185" s="124">
        <v>0</v>
      </c>
      <c r="G185" s="64">
        <f t="shared" si="331"/>
        <v>54405</v>
      </c>
      <c r="H185" s="125" t="s">
        <v>124</v>
      </c>
      <c r="I185" s="90">
        <v>3.0000000000000001E-3</v>
      </c>
      <c r="J185" s="91">
        <f t="shared" si="332"/>
        <v>163.215</v>
      </c>
      <c r="K185" s="92">
        <f>'LABOR SHEET'!C$3</f>
        <v>36</v>
      </c>
      <c r="L185" s="93">
        <f t="shared" si="333"/>
        <v>0.108</v>
      </c>
      <c r="M185" s="93">
        <f t="shared" si="334"/>
        <v>5875.74</v>
      </c>
      <c r="N185" s="151">
        <v>0.04</v>
      </c>
      <c r="O185" s="93">
        <f t="shared" si="335"/>
        <v>2176.1999999999998</v>
      </c>
      <c r="P185" s="93">
        <f t="shared" si="336"/>
        <v>0.14799999999999999</v>
      </c>
      <c r="Q185" s="112">
        <f t="shared" si="337"/>
        <v>8051.94</v>
      </c>
      <c r="R185" s="105"/>
      <c r="S185" s="105"/>
    </row>
    <row r="186" spans="1:19" s="28" customFormat="1">
      <c r="A186" s="55">
        <f>IF(F186&lt;&gt;"",1+MAX($A$2:A185),"")</f>
        <v>115</v>
      </c>
      <c r="B186" s="75"/>
      <c r="C186" s="78"/>
      <c r="D186" s="144" t="s">
        <v>186</v>
      </c>
      <c r="E186" s="60">
        <v>11159.38</v>
      </c>
      <c r="F186" s="124">
        <v>0.1</v>
      </c>
      <c r="G186" s="64">
        <f t="shared" si="331"/>
        <v>12275.317999999999</v>
      </c>
      <c r="H186" s="125" t="s">
        <v>67</v>
      </c>
      <c r="I186" s="90">
        <v>1.7000000000000001E-2</v>
      </c>
      <c r="J186" s="91">
        <f t="shared" si="332"/>
        <v>208.680406</v>
      </c>
      <c r="K186" s="92">
        <f>'LABOR SHEET'!C$3</f>
        <v>36</v>
      </c>
      <c r="L186" s="93">
        <f t="shared" si="333"/>
        <v>0.61199999999999999</v>
      </c>
      <c r="M186" s="93">
        <f t="shared" si="334"/>
        <v>7512.494616</v>
      </c>
      <c r="N186" s="93">
        <f>34.61/32</f>
        <v>1.0815625</v>
      </c>
      <c r="O186" s="93">
        <f t="shared" si="335"/>
        <v>13276.523624375001</v>
      </c>
      <c r="P186" s="93">
        <f t="shared" si="336"/>
        <v>1.6935625000000001</v>
      </c>
      <c r="Q186" s="112">
        <f t="shared" si="337"/>
        <v>20789.018240375</v>
      </c>
      <c r="R186" s="105"/>
      <c r="S186" s="105"/>
    </row>
    <row r="187" spans="1:19" s="28" customFormat="1">
      <c r="A187" s="55">
        <f>IF(F187&lt;&gt;"",1+MAX($A$2:A186),"")</f>
        <v>116</v>
      </c>
      <c r="B187" s="75"/>
      <c r="C187" s="78"/>
      <c r="D187" s="147" t="s">
        <v>187</v>
      </c>
      <c r="E187" s="148">
        <f>ROUNDUP(E186/32,0)</f>
        <v>349</v>
      </c>
      <c r="F187" s="124">
        <v>0</v>
      </c>
      <c r="G187" s="64">
        <f t="shared" si="331"/>
        <v>349</v>
      </c>
      <c r="H187" s="125" t="s">
        <v>124</v>
      </c>
      <c r="I187" s="90"/>
      <c r="J187" s="91"/>
      <c r="K187" s="92"/>
      <c r="L187" s="93"/>
      <c r="M187" s="93"/>
      <c r="N187" s="93"/>
      <c r="O187" s="93"/>
      <c r="P187" s="93"/>
      <c r="Q187" s="112"/>
      <c r="R187" s="105"/>
      <c r="S187" s="105"/>
    </row>
    <row r="188" spans="1:19" s="28" customFormat="1">
      <c r="A188" s="55">
        <f>IF(F188&lt;&gt;"",1+MAX($A$2:A187),"")</f>
        <v>117</v>
      </c>
      <c r="B188" s="75"/>
      <c r="C188" s="78"/>
      <c r="D188" s="149" t="s">
        <v>185</v>
      </c>
      <c r="E188" s="148">
        <f>E187*93</f>
        <v>32457</v>
      </c>
      <c r="F188" s="124">
        <v>0</v>
      </c>
      <c r="G188" s="64">
        <f t="shared" si="331"/>
        <v>32457</v>
      </c>
      <c r="H188" s="125" t="s">
        <v>124</v>
      </c>
      <c r="I188" s="90">
        <v>3.0000000000000001E-3</v>
      </c>
      <c r="J188" s="91">
        <f t="shared" ref="J188" si="338">+I188*G188</f>
        <v>97.370999999999995</v>
      </c>
      <c r="K188" s="92">
        <f>'LABOR SHEET'!C$3</f>
        <v>36</v>
      </c>
      <c r="L188" s="93">
        <f t="shared" ref="L188" si="339">I188*K188</f>
        <v>0.108</v>
      </c>
      <c r="M188" s="93">
        <f t="shared" ref="M188" si="340">K188*J188</f>
        <v>3505.3560000000002</v>
      </c>
      <c r="N188" s="151">
        <v>0.04</v>
      </c>
      <c r="O188" s="93">
        <f t="shared" ref="O188" si="341">N188*G188</f>
        <v>1298.28</v>
      </c>
      <c r="P188" s="93">
        <f t="shared" ref="P188" si="342">(I188*K188)+N188</f>
        <v>0.14799999999999999</v>
      </c>
      <c r="Q188" s="112">
        <f t="shared" ref="Q188" si="343">P188*G188</f>
        <v>4803.6360000000004</v>
      </c>
      <c r="R188" s="105"/>
      <c r="S188" s="105"/>
    </row>
    <row r="189" spans="1:19" s="28" customFormat="1">
      <c r="A189" s="55" t="str">
        <f>IF(F189&lt;&gt;"",1+MAX($A$2:A188),"")</f>
        <v/>
      </c>
      <c r="B189" s="75"/>
      <c r="C189" s="78"/>
      <c r="D189" s="149"/>
      <c r="E189" s="60"/>
      <c r="F189" s="124"/>
      <c r="G189" s="145"/>
      <c r="H189" s="125"/>
      <c r="I189" s="90"/>
      <c r="J189" s="91"/>
      <c r="K189" s="92"/>
      <c r="L189" s="93"/>
      <c r="M189" s="93"/>
      <c r="N189" s="93"/>
      <c r="O189" s="93"/>
      <c r="P189" s="93"/>
      <c r="Q189" s="111"/>
      <c r="R189" s="105"/>
      <c r="S189" s="105"/>
    </row>
    <row r="190" spans="1:19" s="28" customFormat="1">
      <c r="A190" s="55" t="str">
        <f>IF(F190&lt;&gt;"",1+MAX($A$2:A189),"")</f>
        <v/>
      </c>
      <c r="B190" s="75"/>
      <c r="C190" s="78"/>
      <c r="D190" s="143" t="s">
        <v>188</v>
      </c>
      <c r="E190" s="60"/>
      <c r="F190" s="145"/>
      <c r="G190" s="145"/>
      <c r="H190" s="150"/>
      <c r="I190" s="90"/>
      <c r="J190" s="91"/>
      <c r="K190" s="92"/>
      <c r="L190" s="93"/>
      <c r="M190" s="93"/>
      <c r="N190" s="93"/>
      <c r="O190" s="93"/>
      <c r="P190" s="93"/>
      <c r="Q190" s="111"/>
      <c r="R190" s="105"/>
      <c r="S190" s="105"/>
    </row>
    <row r="191" spans="1:19" s="28" customFormat="1">
      <c r="A191" s="55">
        <f>IF(F191&lt;&gt;"",1+MAX($A$2:A190),"")</f>
        <v>118</v>
      </c>
      <c r="B191" s="75"/>
      <c r="C191" s="78"/>
      <c r="D191" s="144" t="s">
        <v>189</v>
      </c>
      <c r="E191" s="60">
        <v>4335.9895833333303</v>
      </c>
      <c r="F191" s="124">
        <v>0.05</v>
      </c>
      <c r="G191" s="64">
        <f t="shared" ref="G191:G193" si="344">(F191*E191)+E191</f>
        <v>4552.7890625</v>
      </c>
      <c r="H191" s="125" t="s">
        <v>119</v>
      </c>
      <c r="I191" s="90">
        <v>6.2E-2</v>
      </c>
      <c r="J191" s="91">
        <f t="shared" ref="J191:J193" si="345">+I191*G191</f>
        <v>282.27292187500001</v>
      </c>
      <c r="K191" s="92">
        <f>'LABOR SHEET'!C$3</f>
        <v>36</v>
      </c>
      <c r="L191" s="93">
        <f t="shared" ref="L191:L193" si="346">I191*K191</f>
        <v>2.2320000000000002</v>
      </c>
      <c r="M191" s="93">
        <f t="shared" ref="M191:M193" si="347">K191*J191</f>
        <v>10161.825187500001</v>
      </c>
      <c r="N191" s="93">
        <v>4.4000000000000004</v>
      </c>
      <c r="O191" s="93">
        <f t="shared" ref="O191:O193" si="348">N191*G191</f>
        <v>20032.271874999999</v>
      </c>
      <c r="P191" s="93">
        <f t="shared" ref="P191:P193" si="349">(I191*K191)+N191</f>
        <v>6.6319999999999997</v>
      </c>
      <c r="Q191" s="112">
        <f t="shared" ref="Q191:Q193" si="350">P191*G191</f>
        <v>30194.097062500001</v>
      </c>
      <c r="R191" s="105"/>
      <c r="S191" s="105"/>
    </row>
    <row r="192" spans="1:19" s="28" customFormat="1">
      <c r="A192" s="55">
        <f>IF(F192&lt;&gt;"",1+MAX($A$2:A191),"")</f>
        <v>119</v>
      </c>
      <c r="B192" s="75"/>
      <c r="C192" s="78"/>
      <c r="D192" s="144" t="s">
        <v>190</v>
      </c>
      <c r="E192" s="60">
        <v>1551.4436090225599</v>
      </c>
      <c r="F192" s="124">
        <v>0.05</v>
      </c>
      <c r="G192" s="64">
        <f t="shared" si="344"/>
        <v>1629.0157894736899</v>
      </c>
      <c r="H192" s="125" t="s">
        <v>119</v>
      </c>
      <c r="I192" s="90">
        <v>6.2E-2</v>
      </c>
      <c r="J192" s="91">
        <f t="shared" si="345"/>
        <v>100.998978947369</v>
      </c>
      <c r="K192" s="92">
        <f>'LABOR SHEET'!C$3</f>
        <v>36</v>
      </c>
      <c r="L192" s="93">
        <f t="shared" si="346"/>
        <v>2.2320000000000002</v>
      </c>
      <c r="M192" s="93">
        <f t="shared" si="347"/>
        <v>3635.9632421052702</v>
      </c>
      <c r="N192" s="93">
        <v>4.4000000000000004</v>
      </c>
      <c r="O192" s="93">
        <f t="shared" si="348"/>
        <v>7167.6694736842301</v>
      </c>
      <c r="P192" s="93">
        <f t="shared" si="349"/>
        <v>6.6319999999999997</v>
      </c>
      <c r="Q192" s="112">
        <f t="shared" si="350"/>
        <v>10803.632715789499</v>
      </c>
      <c r="R192" s="105"/>
      <c r="S192" s="105"/>
    </row>
    <row r="193" spans="1:19" s="28" customFormat="1">
      <c r="A193" s="55">
        <f>IF(F193&lt;&gt;"",1+MAX($A$2:A192),"")</f>
        <v>120</v>
      </c>
      <c r="B193" s="75"/>
      <c r="C193" s="78"/>
      <c r="D193" s="144" t="s">
        <v>191</v>
      </c>
      <c r="E193" s="60">
        <v>348</v>
      </c>
      <c r="F193" s="124">
        <v>0.05</v>
      </c>
      <c r="G193" s="64">
        <f t="shared" si="344"/>
        <v>365.4</v>
      </c>
      <c r="H193" s="125" t="s">
        <v>119</v>
      </c>
      <c r="I193" s="90">
        <v>4.3999999999999997E-2</v>
      </c>
      <c r="J193" s="91">
        <f t="shared" si="345"/>
        <v>16.0776</v>
      </c>
      <c r="K193" s="92">
        <f>'LABOR SHEET'!C$3</f>
        <v>36</v>
      </c>
      <c r="L193" s="93">
        <f t="shared" si="346"/>
        <v>1.5840000000000001</v>
      </c>
      <c r="M193" s="93">
        <f t="shared" si="347"/>
        <v>578.79359999999997</v>
      </c>
      <c r="N193" s="93">
        <v>3.6</v>
      </c>
      <c r="O193" s="93">
        <f t="shared" si="348"/>
        <v>1315.44</v>
      </c>
      <c r="P193" s="93">
        <f t="shared" si="349"/>
        <v>5.1840000000000002</v>
      </c>
      <c r="Q193" s="112">
        <f t="shared" si="350"/>
        <v>1894.2336</v>
      </c>
      <c r="R193" s="105"/>
      <c r="S193" s="105"/>
    </row>
    <row r="194" spans="1:19" s="28" customFormat="1">
      <c r="A194" s="55" t="str">
        <f>IF(F194&lt;&gt;"",1+MAX($A$2:A193),"")</f>
        <v/>
      </c>
      <c r="B194" s="75"/>
      <c r="C194" s="78"/>
      <c r="D194" s="144"/>
      <c r="E194" s="60"/>
      <c r="F194" s="124"/>
      <c r="G194" s="145"/>
      <c r="H194" s="125"/>
      <c r="I194" s="90"/>
      <c r="J194" s="91"/>
      <c r="K194" s="92"/>
      <c r="L194" s="93"/>
      <c r="M194" s="93"/>
      <c r="N194" s="93"/>
      <c r="O194" s="93"/>
      <c r="P194" s="93"/>
      <c r="Q194" s="112"/>
      <c r="R194" s="105"/>
      <c r="S194" s="105"/>
    </row>
    <row r="195" spans="1:19" s="28" customFormat="1">
      <c r="A195" s="55" t="str">
        <f>IF(F195&lt;&gt;"",1+MAX($A$2:A194),"")</f>
        <v/>
      </c>
      <c r="B195" s="75"/>
      <c r="C195" s="78"/>
      <c r="D195" s="143" t="s">
        <v>192</v>
      </c>
      <c r="E195" s="60"/>
      <c r="F195" s="145"/>
      <c r="G195" s="145"/>
      <c r="H195" s="150"/>
      <c r="I195" s="90"/>
      <c r="J195" s="91"/>
      <c r="K195" s="92"/>
      <c r="L195" s="93"/>
      <c r="M195" s="93"/>
      <c r="N195" s="93"/>
      <c r="O195" s="93"/>
      <c r="P195" s="93"/>
      <c r="Q195" s="111"/>
      <c r="R195" s="105"/>
      <c r="S195" s="105"/>
    </row>
    <row r="196" spans="1:19" s="28" customFormat="1">
      <c r="A196" s="55">
        <f>IF(F196&lt;&gt;"",1+MAX($A$2:A195),"")</f>
        <v>121</v>
      </c>
      <c r="B196" s="75"/>
      <c r="C196" s="78"/>
      <c r="D196" s="144" t="s">
        <v>193</v>
      </c>
      <c r="E196" s="60">
        <v>245.13</v>
      </c>
      <c r="F196" s="124">
        <v>0.05</v>
      </c>
      <c r="G196" s="64">
        <f t="shared" ref="G196" si="351">(F196*E196)+E196</f>
        <v>257.38650000000001</v>
      </c>
      <c r="H196" s="125" t="s">
        <v>119</v>
      </c>
      <c r="I196" s="90">
        <v>3.5999999999999997E-2</v>
      </c>
      <c r="J196" s="91">
        <f t="shared" ref="J196" si="352">+I196*G196</f>
        <v>9.2659140000000004</v>
      </c>
      <c r="K196" s="92">
        <f>'LABOR SHEET'!C$3</f>
        <v>36</v>
      </c>
      <c r="L196" s="93">
        <f t="shared" ref="L196" si="353">I196*K196</f>
        <v>1.296</v>
      </c>
      <c r="M196" s="93">
        <f t="shared" ref="M196" si="354">K196*J196</f>
        <v>333.57290399999999</v>
      </c>
      <c r="N196" s="93">
        <v>3.6</v>
      </c>
      <c r="O196" s="93">
        <f t="shared" ref="O196" si="355">N196*G196</f>
        <v>926.59140000000002</v>
      </c>
      <c r="P196" s="93">
        <f t="shared" ref="P196" si="356">(I196*K196)+N196</f>
        <v>4.8959999999999999</v>
      </c>
      <c r="Q196" s="112">
        <f t="shared" ref="Q196" si="357">P196*G196</f>
        <v>1260.1643039999999</v>
      </c>
      <c r="R196" s="105"/>
      <c r="S196" s="105"/>
    </row>
    <row r="197" spans="1:19" s="28" customFormat="1">
      <c r="A197" s="55" t="str">
        <f>IF(F197&lt;&gt;"",1+MAX($A$2:A196),"")</f>
        <v/>
      </c>
      <c r="B197" s="75"/>
      <c r="C197" s="78"/>
      <c r="D197" s="144"/>
      <c r="E197" s="60"/>
      <c r="F197" s="124"/>
      <c r="G197" s="145"/>
      <c r="H197" s="125"/>
      <c r="I197" s="90"/>
      <c r="J197" s="91"/>
      <c r="K197" s="92"/>
      <c r="L197" s="93"/>
      <c r="M197" s="93"/>
      <c r="N197" s="93"/>
      <c r="O197" s="93"/>
      <c r="P197" s="93"/>
      <c r="Q197" s="112"/>
      <c r="R197" s="105"/>
      <c r="S197" s="105"/>
    </row>
    <row r="198" spans="1:19" s="28" customFormat="1">
      <c r="A198" s="55" t="str">
        <f>IF(F198&lt;&gt;"",1+MAX($A$2:A197),"")</f>
        <v/>
      </c>
      <c r="B198" s="75"/>
      <c r="C198" s="78"/>
      <c r="D198" s="143" t="s">
        <v>194</v>
      </c>
      <c r="E198" s="60"/>
      <c r="F198" s="145"/>
      <c r="G198" s="145"/>
      <c r="H198" s="150"/>
      <c r="I198" s="90"/>
      <c r="J198" s="91"/>
      <c r="K198" s="92"/>
      <c r="L198" s="93"/>
      <c r="M198" s="93"/>
      <c r="N198" s="93"/>
      <c r="O198" s="93"/>
      <c r="P198" s="93"/>
      <c r="Q198" s="111"/>
      <c r="R198" s="105"/>
      <c r="S198" s="105"/>
    </row>
    <row r="199" spans="1:19" s="28" customFormat="1" ht="46.5">
      <c r="A199" s="55">
        <f>IF(F199&lt;&gt;"",1+MAX($A$2:A198),"")</f>
        <v>122</v>
      </c>
      <c r="B199" s="75"/>
      <c r="C199" s="78"/>
      <c r="D199" s="144" t="s">
        <v>195</v>
      </c>
      <c r="E199" s="60">
        <v>2</v>
      </c>
      <c r="F199" s="124">
        <v>0</v>
      </c>
      <c r="G199" s="64">
        <f t="shared" ref="G199:G203" si="358">(F199*E199)+E199</f>
        <v>2</v>
      </c>
      <c r="H199" s="125" t="s">
        <v>124</v>
      </c>
      <c r="I199" s="90">
        <f>(1*18)+(0.86*19)</f>
        <v>34.340000000000003</v>
      </c>
      <c r="J199" s="91">
        <f t="shared" ref="J199:J203" si="359">+I199*G199</f>
        <v>68.680000000000007</v>
      </c>
      <c r="K199" s="92">
        <f>'LABOR SHEET'!C$3</f>
        <v>36</v>
      </c>
      <c r="L199" s="93">
        <f t="shared" ref="L199:L203" si="360">I199*K199</f>
        <v>1236.24</v>
      </c>
      <c r="M199" s="93">
        <f t="shared" ref="M199:M203" si="361">K199*J199</f>
        <v>2472.48</v>
      </c>
      <c r="N199" s="93">
        <f>(100*18)+(90*19)</f>
        <v>3510</v>
      </c>
      <c r="O199" s="93">
        <f t="shared" ref="O199:O203" si="362">N199*G199</f>
        <v>7020</v>
      </c>
      <c r="P199" s="93">
        <f t="shared" ref="P199:P203" si="363">(I199*K199)+N199</f>
        <v>4746.24</v>
      </c>
      <c r="Q199" s="112">
        <f t="shared" ref="Q199:Q203" si="364">P199*G199</f>
        <v>9492.48</v>
      </c>
      <c r="R199" s="105"/>
      <c r="S199" s="105"/>
    </row>
    <row r="200" spans="1:19" s="28" customFormat="1" ht="46.5">
      <c r="A200" s="55">
        <f>IF(F200&lt;&gt;"",1+MAX($A$2:A199),"")</f>
        <v>123</v>
      </c>
      <c r="B200" s="75"/>
      <c r="C200" s="78"/>
      <c r="D200" s="144" t="s">
        <v>196</v>
      </c>
      <c r="E200" s="60">
        <v>1</v>
      </c>
      <c r="F200" s="124">
        <v>0</v>
      </c>
      <c r="G200" s="64">
        <f t="shared" si="358"/>
        <v>1</v>
      </c>
      <c r="H200" s="125" t="s">
        <v>124</v>
      </c>
      <c r="I200" s="90">
        <f>(1.2*3)+(1*2)</f>
        <v>5.6</v>
      </c>
      <c r="J200" s="91">
        <f t="shared" si="359"/>
        <v>5.6</v>
      </c>
      <c r="K200" s="92">
        <f>'LABOR SHEET'!C$3</f>
        <v>36</v>
      </c>
      <c r="L200" s="93">
        <f t="shared" si="360"/>
        <v>201.6</v>
      </c>
      <c r="M200" s="93">
        <f t="shared" si="361"/>
        <v>201.6</v>
      </c>
      <c r="N200" s="93">
        <f>(120*3)+(100*2)</f>
        <v>560</v>
      </c>
      <c r="O200" s="93">
        <f t="shared" si="362"/>
        <v>560</v>
      </c>
      <c r="P200" s="93">
        <f t="shared" si="363"/>
        <v>761.6</v>
      </c>
      <c r="Q200" s="112">
        <f t="shared" si="364"/>
        <v>761.6</v>
      </c>
      <c r="R200" s="105"/>
      <c r="S200" s="105"/>
    </row>
    <row r="201" spans="1:19" s="28" customFormat="1" ht="62">
      <c r="A201" s="55">
        <f>IF(F201&lt;&gt;"",1+MAX($A$2:A200),"")</f>
        <v>124</v>
      </c>
      <c r="B201" s="75"/>
      <c r="C201" s="78"/>
      <c r="D201" s="144" t="s">
        <v>197</v>
      </c>
      <c r="E201" s="60">
        <v>1</v>
      </c>
      <c r="F201" s="124">
        <v>0</v>
      </c>
      <c r="G201" s="64">
        <f t="shared" si="358"/>
        <v>1</v>
      </c>
      <c r="H201" s="125" t="s">
        <v>124</v>
      </c>
      <c r="I201" s="90">
        <f>(1.2*18)+(1*19)+(0.06*4*4)</f>
        <v>41.56</v>
      </c>
      <c r="J201" s="91">
        <f t="shared" si="359"/>
        <v>41.56</v>
      </c>
      <c r="K201" s="92">
        <f>'LABOR SHEET'!C$3</f>
        <v>36</v>
      </c>
      <c r="L201" s="93">
        <f t="shared" si="360"/>
        <v>1496.16</v>
      </c>
      <c r="M201" s="93">
        <f t="shared" si="361"/>
        <v>1496.16</v>
      </c>
      <c r="N201" s="93">
        <f>(120*18)+(100*19)+(10.1*4*4)</f>
        <v>4221.6000000000004</v>
      </c>
      <c r="O201" s="93">
        <f t="shared" si="362"/>
        <v>4221.6000000000004</v>
      </c>
      <c r="P201" s="93">
        <f t="shared" si="363"/>
        <v>5717.76</v>
      </c>
      <c r="Q201" s="112">
        <f t="shared" si="364"/>
        <v>5717.76</v>
      </c>
      <c r="R201" s="105"/>
      <c r="S201" s="105"/>
    </row>
    <row r="202" spans="1:19" s="28" customFormat="1" ht="46.5">
      <c r="A202" s="55">
        <f>IF(F202&lt;&gt;"",1+MAX($A$2:A201),"")</f>
        <v>125</v>
      </c>
      <c r="B202" s="75"/>
      <c r="C202" s="78"/>
      <c r="D202" s="144" t="s">
        <v>198</v>
      </c>
      <c r="E202" s="60">
        <v>1</v>
      </c>
      <c r="F202" s="124">
        <v>0</v>
      </c>
      <c r="G202" s="64">
        <f t="shared" si="358"/>
        <v>1</v>
      </c>
      <c r="H202" s="125" t="s">
        <v>124</v>
      </c>
      <c r="I202" s="90">
        <f>(1.2*18)+(1*19)</f>
        <v>40.6</v>
      </c>
      <c r="J202" s="91">
        <f t="shared" si="359"/>
        <v>40.6</v>
      </c>
      <c r="K202" s="92">
        <f>'LABOR SHEET'!C$3</f>
        <v>36</v>
      </c>
      <c r="L202" s="93">
        <f t="shared" si="360"/>
        <v>1461.6</v>
      </c>
      <c r="M202" s="93">
        <f t="shared" si="361"/>
        <v>1461.6</v>
      </c>
      <c r="N202" s="93">
        <f>(120*18)+(100*19)</f>
        <v>4060</v>
      </c>
      <c r="O202" s="93">
        <f t="shared" si="362"/>
        <v>4060</v>
      </c>
      <c r="P202" s="93">
        <f t="shared" si="363"/>
        <v>5521.6</v>
      </c>
      <c r="Q202" s="112">
        <f t="shared" si="364"/>
        <v>5521.6</v>
      </c>
      <c r="R202" s="105"/>
      <c r="S202" s="105"/>
    </row>
    <row r="203" spans="1:19" s="28" customFormat="1" ht="62">
      <c r="A203" s="55">
        <f>IF(F203&lt;&gt;"",1+MAX($A$2:A202),"")</f>
        <v>126</v>
      </c>
      <c r="B203" s="75"/>
      <c r="C203" s="78"/>
      <c r="D203" s="144" t="s">
        <v>199</v>
      </c>
      <c r="E203" s="60">
        <v>1</v>
      </c>
      <c r="F203" s="124">
        <v>0</v>
      </c>
      <c r="G203" s="64">
        <f t="shared" si="358"/>
        <v>1</v>
      </c>
      <c r="H203" s="125" t="s">
        <v>124</v>
      </c>
      <c r="I203" s="90">
        <f>(1.6*3)+(1.4*4)+(0.06*7.84*4.84*1)</f>
        <v>12.676736</v>
      </c>
      <c r="J203" s="91">
        <f t="shared" si="359"/>
        <v>12.676736</v>
      </c>
      <c r="K203" s="92">
        <f>'LABOR SHEET'!C$3</f>
        <v>36</v>
      </c>
      <c r="L203" s="93">
        <f t="shared" si="360"/>
        <v>456.36249600000002</v>
      </c>
      <c r="M203" s="93">
        <f t="shared" si="361"/>
        <v>456.36249600000002</v>
      </c>
      <c r="N203" s="93">
        <f>(160*3)+(120*4)+(10.1*7.84*4.84*1)</f>
        <v>1343.25056</v>
      </c>
      <c r="O203" s="93">
        <f t="shared" si="362"/>
        <v>1343.25056</v>
      </c>
      <c r="P203" s="93">
        <f t="shared" si="363"/>
        <v>1799.6130559999999</v>
      </c>
      <c r="Q203" s="112">
        <f t="shared" si="364"/>
        <v>1799.6130559999999</v>
      </c>
      <c r="R203" s="105"/>
      <c r="S203" s="105"/>
    </row>
    <row r="204" spans="1:19" s="28" customFormat="1">
      <c r="A204" s="55" t="str">
        <f>IF(F204&lt;&gt;"",1+MAX($A$2:A203),"")</f>
        <v/>
      </c>
      <c r="B204" s="75"/>
      <c r="C204" s="78"/>
      <c r="D204" s="144"/>
      <c r="E204" s="60"/>
      <c r="F204" s="124"/>
      <c r="G204" s="145"/>
      <c r="H204" s="125"/>
      <c r="I204" s="90"/>
      <c r="J204" s="91"/>
      <c r="K204" s="92"/>
      <c r="L204" s="93"/>
      <c r="M204" s="93"/>
      <c r="N204" s="93"/>
      <c r="O204" s="93"/>
      <c r="P204" s="93"/>
      <c r="Q204" s="112"/>
      <c r="R204" s="105"/>
      <c r="S204" s="105"/>
    </row>
    <row r="205" spans="1:19" s="28" customFormat="1">
      <c r="A205" s="55" t="str">
        <f>IF(F205&lt;&gt;"",1+MAX($A$2:A204),"")</f>
        <v/>
      </c>
      <c r="B205" s="75"/>
      <c r="C205" s="78"/>
      <c r="D205" s="143" t="s">
        <v>200</v>
      </c>
      <c r="E205" s="60"/>
      <c r="F205" s="145"/>
      <c r="G205" s="145"/>
      <c r="H205" s="150"/>
      <c r="I205" s="90"/>
      <c r="J205" s="91"/>
      <c r="K205" s="92"/>
      <c r="L205" s="93"/>
      <c r="M205" s="93"/>
      <c r="N205" s="93"/>
      <c r="O205" s="93"/>
      <c r="P205" s="93"/>
      <c r="Q205" s="111"/>
      <c r="R205" s="105"/>
      <c r="S205" s="105"/>
    </row>
    <row r="206" spans="1:19" s="28" customFormat="1">
      <c r="A206" s="55">
        <f>IF(F206&lt;&gt;"",1+MAX($A$2:A205),"")</f>
        <v>127</v>
      </c>
      <c r="B206" s="75"/>
      <c r="C206" s="78"/>
      <c r="D206" s="144" t="s">
        <v>201</v>
      </c>
      <c r="E206" s="60">
        <v>232.25563909774399</v>
      </c>
      <c r="F206" s="124">
        <v>0.05</v>
      </c>
      <c r="G206" s="64">
        <f t="shared" ref="G206:G208" si="365">(F206*E206)+E206</f>
        <v>243.86842105263099</v>
      </c>
      <c r="H206" s="125" t="s">
        <v>119</v>
      </c>
      <c r="I206" s="90">
        <v>2.1999999999999999E-2</v>
      </c>
      <c r="J206" s="91">
        <f t="shared" ref="J206:J208" si="366">+I206*G206</f>
        <v>5.3651052631578899</v>
      </c>
      <c r="K206" s="92">
        <f>'LABOR SHEET'!C$3</f>
        <v>36</v>
      </c>
      <c r="L206" s="93">
        <f t="shared" ref="L206:L208" si="367">I206*K206</f>
        <v>0.79200000000000004</v>
      </c>
      <c r="M206" s="93">
        <f t="shared" ref="M206:M208" si="368">K206*J206</f>
        <v>193.143789473684</v>
      </c>
      <c r="N206" s="93">
        <v>2.2000000000000002</v>
      </c>
      <c r="O206" s="93">
        <f t="shared" ref="O206:O208" si="369">N206*G206</f>
        <v>536.51052631578898</v>
      </c>
      <c r="P206" s="93">
        <f t="shared" ref="P206:P208" si="370">(I206*K206)+N206</f>
        <v>2.992</v>
      </c>
      <c r="Q206" s="112">
        <f t="shared" ref="Q206:Q208" si="371">P206*G206</f>
        <v>729.654315789473</v>
      </c>
      <c r="R206" s="105"/>
      <c r="S206" s="105"/>
    </row>
    <row r="207" spans="1:19" s="28" customFormat="1">
      <c r="A207" s="55">
        <f>IF(F207&lt;&gt;"",1+MAX($A$2:A206),"")</f>
        <v>128</v>
      </c>
      <c r="B207" s="75"/>
      <c r="C207" s="78"/>
      <c r="D207" s="144" t="s">
        <v>202</v>
      </c>
      <c r="E207" s="60">
        <v>124.981203007519</v>
      </c>
      <c r="F207" s="124">
        <v>0.05</v>
      </c>
      <c r="G207" s="64">
        <f t="shared" si="365"/>
        <v>131.230263157895</v>
      </c>
      <c r="H207" s="125" t="s">
        <v>119</v>
      </c>
      <c r="I207" s="90">
        <v>2.4E-2</v>
      </c>
      <c r="J207" s="91">
        <f t="shared" si="366"/>
        <v>3.1495263157894802</v>
      </c>
      <c r="K207" s="92">
        <f>'LABOR SHEET'!C$3</f>
        <v>36</v>
      </c>
      <c r="L207" s="93">
        <f t="shared" si="367"/>
        <v>0.86399999999999999</v>
      </c>
      <c r="M207" s="93">
        <f t="shared" si="368"/>
        <v>113.382947368421</v>
      </c>
      <c r="N207" s="93">
        <v>2.6</v>
      </c>
      <c r="O207" s="93">
        <f t="shared" si="369"/>
        <v>341.19868421052701</v>
      </c>
      <c r="P207" s="93">
        <f t="shared" si="370"/>
        <v>3.464</v>
      </c>
      <c r="Q207" s="112">
        <f t="shared" si="371"/>
        <v>454.58163157894802</v>
      </c>
      <c r="R207" s="105"/>
      <c r="S207" s="105"/>
    </row>
    <row r="208" spans="1:19" s="28" customFormat="1">
      <c r="A208" s="55">
        <f>IF(F208&lt;&gt;"",1+MAX($A$2:A207),"")</f>
        <v>129</v>
      </c>
      <c r="B208" s="75"/>
      <c r="C208" s="78"/>
      <c r="D208" s="144" t="s">
        <v>203</v>
      </c>
      <c r="E208" s="60">
        <v>1683.52198</v>
      </c>
      <c r="F208" s="124">
        <v>0.05</v>
      </c>
      <c r="G208" s="64">
        <f t="shared" si="365"/>
        <v>1767.698079</v>
      </c>
      <c r="H208" s="125" t="s">
        <v>119</v>
      </c>
      <c r="I208" s="90">
        <v>2.5999999999999999E-2</v>
      </c>
      <c r="J208" s="91">
        <f t="shared" si="366"/>
        <v>45.960150054000003</v>
      </c>
      <c r="K208" s="92">
        <f>'LABOR SHEET'!C$3</f>
        <v>36</v>
      </c>
      <c r="L208" s="93">
        <f t="shared" si="367"/>
        <v>0.93600000000000005</v>
      </c>
      <c r="M208" s="93">
        <f t="shared" si="368"/>
        <v>1654.5654019440001</v>
      </c>
      <c r="N208" s="93">
        <v>3</v>
      </c>
      <c r="O208" s="93">
        <f t="shared" si="369"/>
        <v>5303.0942370000002</v>
      </c>
      <c r="P208" s="93">
        <f t="shared" si="370"/>
        <v>3.9359999999999999</v>
      </c>
      <c r="Q208" s="112">
        <f t="shared" si="371"/>
        <v>6957.6596389440001</v>
      </c>
      <c r="R208" s="105"/>
      <c r="S208" s="105"/>
    </row>
    <row r="209" spans="1:19" s="28" customFormat="1">
      <c r="A209" s="55" t="str">
        <f>IF(F209&lt;&gt;"",1+MAX($A$2:A208),"")</f>
        <v/>
      </c>
      <c r="B209" s="75"/>
      <c r="C209" s="78"/>
      <c r="D209" s="144"/>
      <c r="E209" s="60"/>
      <c r="F209" s="124"/>
      <c r="G209" s="145"/>
      <c r="H209" s="125"/>
      <c r="I209" s="90"/>
      <c r="J209" s="91"/>
      <c r="K209" s="92"/>
      <c r="L209" s="93"/>
      <c r="M209" s="93"/>
      <c r="N209" s="93"/>
      <c r="O209" s="93"/>
      <c r="P209" s="93"/>
      <c r="Q209" s="112"/>
      <c r="R209" s="105"/>
      <c r="S209" s="105"/>
    </row>
    <row r="210" spans="1:19" s="28" customFormat="1">
      <c r="A210" s="55" t="str">
        <f>IF(F210&lt;&gt;"",1+MAX($A$2:A209),"")</f>
        <v/>
      </c>
      <c r="B210" s="75"/>
      <c r="C210" s="78"/>
      <c r="D210" s="143" t="s">
        <v>204</v>
      </c>
      <c r="E210" s="60"/>
      <c r="F210" s="145"/>
      <c r="G210" s="145"/>
      <c r="H210" s="150"/>
      <c r="I210" s="90"/>
      <c r="J210" s="91"/>
      <c r="K210" s="92"/>
      <c r="L210" s="93"/>
      <c r="M210" s="93"/>
      <c r="N210" s="93"/>
      <c r="O210" s="93"/>
      <c r="P210" s="93"/>
      <c r="Q210" s="111"/>
      <c r="R210" s="105"/>
      <c r="S210" s="105"/>
    </row>
    <row r="211" spans="1:19" s="28" customFormat="1">
      <c r="A211" s="55">
        <f>IF(F211&lt;&gt;"",1+MAX($A$2:A210),"")</f>
        <v>130</v>
      </c>
      <c r="B211" s="75"/>
      <c r="C211" s="78"/>
      <c r="D211" s="144" t="s">
        <v>205</v>
      </c>
      <c r="E211" s="60">
        <v>7640.0393750000003</v>
      </c>
      <c r="F211" s="124">
        <v>0.05</v>
      </c>
      <c r="G211" s="64">
        <f t="shared" ref="G211:G216" si="372">(F211*E211)+E211</f>
        <v>8022.0413437500001</v>
      </c>
      <c r="H211" s="125" t="s">
        <v>119</v>
      </c>
      <c r="I211" s="90">
        <v>6.5000000000000002E-2</v>
      </c>
      <c r="J211" s="91">
        <f t="shared" ref="J211:J216" si="373">+I211*G211</f>
        <v>521.43268734374999</v>
      </c>
      <c r="K211" s="92">
        <f>'LABOR SHEET'!C$3</f>
        <v>36</v>
      </c>
      <c r="L211" s="93">
        <f t="shared" ref="L211:L216" si="374">I211*K211</f>
        <v>2.34</v>
      </c>
      <c r="M211" s="93">
        <f t="shared" ref="M211:M216" si="375">K211*J211</f>
        <v>18771.576744375001</v>
      </c>
      <c r="N211" s="93">
        <v>6.25</v>
      </c>
      <c r="O211" s="93">
        <f t="shared" ref="O211:O216" si="376">N211*G211</f>
        <v>50137.758398437501</v>
      </c>
      <c r="P211" s="93">
        <f t="shared" ref="P211:P216" si="377">(I211*K211)+N211</f>
        <v>8.59</v>
      </c>
      <c r="Q211" s="112">
        <f t="shared" ref="Q211:Q216" si="378">P211*G211</f>
        <v>68909.335142812502</v>
      </c>
      <c r="R211" s="105"/>
      <c r="S211" s="105"/>
    </row>
    <row r="212" spans="1:19" s="28" customFormat="1">
      <c r="A212" s="55">
        <f>IF(F212&lt;&gt;"",1+MAX($A$2:A211),"")</f>
        <v>131</v>
      </c>
      <c r="B212" s="75"/>
      <c r="C212" s="78"/>
      <c r="D212" s="144" t="s">
        <v>206</v>
      </c>
      <c r="E212" s="60">
        <v>1996.9937500000001</v>
      </c>
      <c r="F212" s="124">
        <v>0.05</v>
      </c>
      <c r="G212" s="64">
        <f t="shared" si="372"/>
        <v>2096.8434375000002</v>
      </c>
      <c r="H212" s="125" t="s">
        <v>119</v>
      </c>
      <c r="I212" s="90">
        <v>7.1999999999999995E-2</v>
      </c>
      <c r="J212" s="91">
        <f t="shared" si="373"/>
        <v>150.97272749999999</v>
      </c>
      <c r="K212" s="92">
        <f>'LABOR SHEET'!C$3</f>
        <v>36</v>
      </c>
      <c r="L212" s="93">
        <f t="shared" si="374"/>
        <v>2.5920000000000001</v>
      </c>
      <c r="M212" s="93">
        <f t="shared" si="375"/>
        <v>5435.0181899999998</v>
      </c>
      <c r="N212" s="93">
        <v>6.6</v>
      </c>
      <c r="O212" s="93">
        <f t="shared" si="376"/>
        <v>13839.166687499999</v>
      </c>
      <c r="P212" s="93">
        <f t="shared" si="377"/>
        <v>9.1920000000000002</v>
      </c>
      <c r="Q212" s="112">
        <f t="shared" si="378"/>
        <v>19274.1848775</v>
      </c>
      <c r="R212" s="105"/>
      <c r="S212" s="105"/>
    </row>
    <row r="213" spans="1:19" s="28" customFormat="1" ht="31">
      <c r="A213" s="55">
        <f>IF(F213&lt;&gt;"",1+MAX($A$2:A212),"")</f>
        <v>132</v>
      </c>
      <c r="B213" s="75"/>
      <c r="C213" s="78"/>
      <c r="D213" s="144" t="s">
        <v>207</v>
      </c>
      <c r="E213" s="60">
        <v>1050.48</v>
      </c>
      <c r="F213" s="124">
        <v>0.05</v>
      </c>
      <c r="G213" s="64">
        <f t="shared" si="372"/>
        <v>1103.0039999999999</v>
      </c>
      <c r="H213" s="125" t="s">
        <v>119</v>
      </c>
      <c r="I213" s="165"/>
      <c r="J213" s="166"/>
      <c r="K213" s="167"/>
      <c r="L213" s="168"/>
      <c r="M213" s="168"/>
      <c r="N213" s="168"/>
      <c r="O213" s="168"/>
      <c r="P213" s="168"/>
      <c r="Q213" s="169"/>
      <c r="R213" s="105"/>
      <c r="S213" s="105"/>
    </row>
    <row r="214" spans="1:19" s="28" customFormat="1">
      <c r="A214" s="55">
        <f>IF(F214&lt;&gt;"",1+MAX($A$2:A213),"")</f>
        <v>133</v>
      </c>
      <c r="B214" s="75"/>
      <c r="C214" s="78"/>
      <c r="D214" s="144" t="s">
        <v>208</v>
      </c>
      <c r="E214" s="60">
        <v>313</v>
      </c>
      <c r="F214" s="124">
        <v>0.05</v>
      </c>
      <c r="G214" s="64">
        <f t="shared" si="372"/>
        <v>328.65</v>
      </c>
      <c r="H214" s="125" t="s">
        <v>119</v>
      </c>
      <c r="I214" s="90">
        <v>7.6999999999999999E-2</v>
      </c>
      <c r="J214" s="91">
        <f t="shared" si="373"/>
        <v>25.306049999999999</v>
      </c>
      <c r="K214" s="92">
        <f>'LABOR SHEET'!C$3</f>
        <v>36</v>
      </c>
      <c r="L214" s="93">
        <f t="shared" si="374"/>
        <v>2.7719999999999998</v>
      </c>
      <c r="M214" s="93">
        <f t="shared" si="375"/>
        <v>911.01779999999997</v>
      </c>
      <c r="N214" s="93">
        <v>7.1</v>
      </c>
      <c r="O214" s="93">
        <f t="shared" si="376"/>
        <v>2333.415</v>
      </c>
      <c r="P214" s="93">
        <f t="shared" si="377"/>
        <v>9.8719999999999999</v>
      </c>
      <c r="Q214" s="112">
        <f t="shared" si="378"/>
        <v>3244.4328</v>
      </c>
      <c r="R214" s="105"/>
      <c r="S214" s="105"/>
    </row>
    <row r="215" spans="1:19" s="28" customFormat="1">
      <c r="A215" s="55">
        <f>IF(F215&lt;&gt;"",1+MAX($A$2:A214),"")</f>
        <v>134</v>
      </c>
      <c r="B215" s="75"/>
      <c r="C215" s="78"/>
      <c r="D215" s="144" t="s">
        <v>209</v>
      </c>
      <c r="E215" s="60">
        <v>913</v>
      </c>
      <c r="F215" s="124">
        <v>0.05</v>
      </c>
      <c r="G215" s="64">
        <f t="shared" si="372"/>
        <v>958.65</v>
      </c>
      <c r="H215" s="125" t="s">
        <v>119</v>
      </c>
      <c r="I215" s="90">
        <v>8.5999999999999993E-2</v>
      </c>
      <c r="J215" s="91">
        <f t="shared" si="373"/>
        <v>82.443899999999999</v>
      </c>
      <c r="K215" s="92">
        <f>'LABOR SHEET'!C$3</f>
        <v>36</v>
      </c>
      <c r="L215" s="93">
        <f t="shared" si="374"/>
        <v>3.0960000000000001</v>
      </c>
      <c r="M215" s="93">
        <f t="shared" si="375"/>
        <v>2967.9803999999999</v>
      </c>
      <c r="N215" s="93">
        <v>7.6</v>
      </c>
      <c r="O215" s="93">
        <f t="shared" si="376"/>
        <v>7285.74</v>
      </c>
      <c r="P215" s="93">
        <f t="shared" si="377"/>
        <v>10.696</v>
      </c>
      <c r="Q215" s="112">
        <f t="shared" si="378"/>
        <v>10253.7204</v>
      </c>
      <c r="R215" s="105"/>
      <c r="S215" s="105"/>
    </row>
    <row r="216" spans="1:19" s="28" customFormat="1">
      <c r="A216" s="55">
        <f>IF(F216&lt;&gt;"",1+MAX($A$2:A215),"")</f>
        <v>135</v>
      </c>
      <c r="B216" s="75"/>
      <c r="C216" s="78"/>
      <c r="D216" s="144" t="s">
        <v>210</v>
      </c>
      <c r="E216" s="60">
        <v>761</v>
      </c>
      <c r="F216" s="124">
        <v>0.05</v>
      </c>
      <c r="G216" s="64">
        <f t="shared" si="372"/>
        <v>799.05</v>
      </c>
      <c r="H216" s="125" t="s">
        <v>119</v>
      </c>
      <c r="I216" s="90">
        <v>7.9000000000000001E-2</v>
      </c>
      <c r="J216" s="91">
        <f t="shared" si="373"/>
        <v>63.124949999999998</v>
      </c>
      <c r="K216" s="92">
        <f>'LABOR SHEET'!C$3</f>
        <v>36</v>
      </c>
      <c r="L216" s="93">
        <f t="shared" si="374"/>
        <v>2.8439999999999999</v>
      </c>
      <c r="M216" s="93">
        <f t="shared" si="375"/>
        <v>2272.4982</v>
      </c>
      <c r="N216" s="93">
        <v>7.4</v>
      </c>
      <c r="O216" s="93">
        <f t="shared" si="376"/>
        <v>5912.97</v>
      </c>
      <c r="P216" s="93">
        <f t="shared" si="377"/>
        <v>10.244</v>
      </c>
      <c r="Q216" s="112">
        <f t="shared" si="378"/>
        <v>8185.4682000000003</v>
      </c>
      <c r="R216" s="105"/>
      <c r="S216" s="105"/>
    </row>
    <row r="217" spans="1:19" s="28" customFormat="1">
      <c r="A217" s="55" t="str">
        <f>IF(F217&lt;&gt;"",1+MAX($A$2:A216),"")</f>
        <v/>
      </c>
      <c r="B217" s="75"/>
      <c r="C217" s="78"/>
      <c r="D217" s="144"/>
      <c r="E217" s="60"/>
      <c r="F217" s="124"/>
      <c r="G217" s="145"/>
      <c r="H217" s="125"/>
      <c r="I217" s="90"/>
      <c r="J217" s="91"/>
      <c r="K217" s="92"/>
      <c r="L217" s="93"/>
      <c r="M217" s="93"/>
      <c r="N217" s="93"/>
      <c r="O217" s="93"/>
      <c r="P217" s="93"/>
      <c r="Q217" s="111"/>
      <c r="R217" s="105"/>
      <c r="S217" s="105"/>
    </row>
    <row r="218" spans="1:19" s="28" customFormat="1">
      <c r="A218" s="55" t="str">
        <f>IF(F218&lt;&gt;"",1+MAX($A$2:A217),"")</f>
        <v/>
      </c>
      <c r="B218" s="75"/>
      <c r="C218" s="78"/>
      <c r="D218" s="143" t="s">
        <v>211</v>
      </c>
      <c r="E218" s="60"/>
      <c r="F218" s="145"/>
      <c r="G218" s="145"/>
      <c r="H218" s="150"/>
      <c r="I218" s="90"/>
      <c r="J218" s="91"/>
      <c r="K218" s="92"/>
      <c r="L218" s="93"/>
      <c r="M218" s="93"/>
      <c r="N218" s="93"/>
      <c r="O218" s="93"/>
      <c r="P218" s="93"/>
      <c r="Q218" s="111"/>
      <c r="R218" s="105"/>
      <c r="S218" s="105"/>
    </row>
    <row r="219" spans="1:19" s="28" customFormat="1">
      <c r="A219" s="55" t="str">
        <f>IF(F219&lt;&gt;"",1+MAX($A$2:A218),"")</f>
        <v/>
      </c>
      <c r="B219" s="75"/>
      <c r="C219" s="78"/>
      <c r="D219" s="154" t="s">
        <v>212</v>
      </c>
      <c r="E219" s="60"/>
      <c r="F219" s="124"/>
      <c r="G219" s="145"/>
      <c r="H219" s="125"/>
      <c r="I219" s="90"/>
      <c r="J219" s="91"/>
      <c r="K219" s="92"/>
      <c r="L219" s="93"/>
      <c r="M219" s="93"/>
      <c r="N219" s="93"/>
      <c r="O219" s="93"/>
      <c r="P219" s="93"/>
      <c r="Q219" s="111"/>
      <c r="R219" s="105"/>
      <c r="S219" s="105"/>
    </row>
    <row r="220" spans="1:19" s="28" customFormat="1">
      <c r="A220" s="55">
        <f>IF(F220&lt;&gt;"",1+MAX($A$2:A219),"")</f>
        <v>136</v>
      </c>
      <c r="B220" s="75"/>
      <c r="C220" s="78"/>
      <c r="D220" s="155" t="s">
        <v>213</v>
      </c>
      <c r="E220" s="156">
        <v>72.569999999999993</v>
      </c>
      <c r="F220" s="124">
        <v>0.05</v>
      </c>
      <c r="G220" s="64">
        <f t="shared" ref="G220:G237" si="379">(F220*E220)+E220</f>
        <v>76.198499999999996</v>
      </c>
      <c r="H220" s="125" t="s">
        <v>119</v>
      </c>
      <c r="I220" s="90">
        <v>0.68</v>
      </c>
      <c r="J220" s="91">
        <f t="shared" ref="J220:J237" si="380">+I220*G220</f>
        <v>51.814979999999998</v>
      </c>
      <c r="K220" s="92">
        <f>'LABOR SHEET'!C$3</f>
        <v>36</v>
      </c>
      <c r="L220" s="93">
        <f t="shared" ref="L220:L237" si="381">I220*K220</f>
        <v>24.48</v>
      </c>
      <c r="M220" s="93">
        <f t="shared" ref="M220:M237" si="382">K220*J220</f>
        <v>1865.3392799999999</v>
      </c>
      <c r="N220" s="93">
        <v>165</v>
      </c>
      <c r="O220" s="93">
        <f t="shared" ref="O220:O237" si="383">N220*G220</f>
        <v>12572.752500000001</v>
      </c>
      <c r="P220" s="93">
        <f t="shared" ref="P220:P237" si="384">(I220*K220)+N220</f>
        <v>189.48</v>
      </c>
      <c r="Q220" s="112">
        <f t="shared" ref="Q220:Q237" si="385">P220*G220</f>
        <v>14438.091780000001</v>
      </c>
      <c r="R220" s="105"/>
      <c r="S220" s="105"/>
    </row>
    <row r="221" spans="1:19" s="28" customFormat="1">
      <c r="A221" s="55">
        <f>IF(F221&lt;&gt;"",1+MAX($A$2:A220),"")</f>
        <v>137</v>
      </c>
      <c r="B221" s="75"/>
      <c r="C221" s="78"/>
      <c r="D221" s="155" t="s">
        <v>214</v>
      </c>
      <c r="E221" s="156">
        <v>15.98</v>
      </c>
      <c r="F221" s="124">
        <v>0.05</v>
      </c>
      <c r="G221" s="64">
        <f t="shared" si="379"/>
        <v>16.779</v>
      </c>
      <c r="H221" s="125" t="s">
        <v>119</v>
      </c>
      <c r="I221" s="90">
        <v>0.76</v>
      </c>
      <c r="J221" s="91">
        <f t="shared" si="380"/>
        <v>12.752039999999999</v>
      </c>
      <c r="K221" s="92">
        <f>'LABOR SHEET'!C$3</f>
        <v>36</v>
      </c>
      <c r="L221" s="93">
        <f t="shared" si="381"/>
        <v>27.36</v>
      </c>
      <c r="M221" s="93">
        <f t="shared" si="382"/>
        <v>459.07344000000001</v>
      </c>
      <c r="N221" s="93">
        <v>179</v>
      </c>
      <c r="O221" s="93">
        <f t="shared" si="383"/>
        <v>3003.4409999999998</v>
      </c>
      <c r="P221" s="93">
        <f t="shared" si="384"/>
        <v>206.36</v>
      </c>
      <c r="Q221" s="112">
        <f t="shared" si="385"/>
        <v>3462.5144399999999</v>
      </c>
      <c r="R221" s="105"/>
      <c r="S221" s="105"/>
    </row>
    <row r="222" spans="1:19" s="28" customFormat="1">
      <c r="A222" s="55">
        <f>IF(F222&lt;&gt;"",1+MAX($A$2:A221),"")</f>
        <v>138</v>
      </c>
      <c r="B222" s="75"/>
      <c r="C222" s="78"/>
      <c r="D222" s="155" t="s">
        <v>215</v>
      </c>
      <c r="E222" s="156">
        <v>59.15</v>
      </c>
      <c r="F222" s="124">
        <v>0.05</v>
      </c>
      <c r="G222" s="64">
        <f t="shared" si="379"/>
        <v>62.107500000000002</v>
      </c>
      <c r="H222" s="125" t="s">
        <v>119</v>
      </c>
      <c r="I222" s="90">
        <v>0.68</v>
      </c>
      <c r="J222" s="91">
        <f t="shared" si="380"/>
        <v>42.2331</v>
      </c>
      <c r="K222" s="92">
        <f>'LABOR SHEET'!C$3</f>
        <v>36</v>
      </c>
      <c r="L222" s="93">
        <f t="shared" si="381"/>
        <v>24.48</v>
      </c>
      <c r="M222" s="93">
        <f t="shared" si="382"/>
        <v>1520.3915999999999</v>
      </c>
      <c r="N222" s="93">
        <v>165</v>
      </c>
      <c r="O222" s="93">
        <f t="shared" si="383"/>
        <v>10247.737499999999</v>
      </c>
      <c r="P222" s="93">
        <f t="shared" si="384"/>
        <v>189.48</v>
      </c>
      <c r="Q222" s="112">
        <f t="shared" si="385"/>
        <v>11768.1291</v>
      </c>
      <c r="R222" s="105"/>
      <c r="S222" s="105"/>
    </row>
    <row r="223" spans="1:19" s="28" customFormat="1">
      <c r="A223" s="55">
        <f>IF(F223&lt;&gt;"",1+MAX($A$2:A222),"")</f>
        <v>139</v>
      </c>
      <c r="B223" s="75"/>
      <c r="C223" s="78"/>
      <c r="D223" s="155" t="s">
        <v>216</v>
      </c>
      <c r="E223" s="156">
        <v>23.62</v>
      </c>
      <c r="F223" s="124">
        <v>0.05</v>
      </c>
      <c r="G223" s="64">
        <f t="shared" si="379"/>
        <v>24.800999999999998</v>
      </c>
      <c r="H223" s="125" t="s">
        <v>119</v>
      </c>
      <c r="I223" s="90">
        <v>0.66</v>
      </c>
      <c r="J223" s="91">
        <f t="shared" si="380"/>
        <v>16.368659999999998</v>
      </c>
      <c r="K223" s="92">
        <f>'LABOR SHEET'!C$3</f>
        <v>36</v>
      </c>
      <c r="L223" s="93">
        <f t="shared" si="381"/>
        <v>23.76</v>
      </c>
      <c r="M223" s="93">
        <f t="shared" si="382"/>
        <v>589.27175999999997</v>
      </c>
      <c r="N223" s="93">
        <v>140</v>
      </c>
      <c r="O223" s="93">
        <f t="shared" si="383"/>
        <v>3472.14</v>
      </c>
      <c r="P223" s="93">
        <f t="shared" si="384"/>
        <v>163.76</v>
      </c>
      <c r="Q223" s="112">
        <f t="shared" si="385"/>
        <v>4061.41176</v>
      </c>
      <c r="R223" s="105"/>
      <c r="S223" s="105"/>
    </row>
    <row r="224" spans="1:19" s="28" customFormat="1">
      <c r="A224" s="55">
        <f>IF(F224&lt;&gt;"",1+MAX($A$2:A223),"")</f>
        <v>140</v>
      </c>
      <c r="B224" s="75"/>
      <c r="C224" s="78"/>
      <c r="D224" s="155" t="s">
        <v>217</v>
      </c>
      <c r="E224" s="156">
        <v>73.209999999999994</v>
      </c>
      <c r="F224" s="124">
        <v>0.05</v>
      </c>
      <c r="G224" s="64">
        <f t="shared" si="379"/>
        <v>76.870500000000007</v>
      </c>
      <c r="H224" s="125" t="s">
        <v>119</v>
      </c>
      <c r="I224" s="90">
        <v>0.47</v>
      </c>
      <c r="J224" s="91">
        <f t="shared" si="380"/>
        <v>36.129134999999998</v>
      </c>
      <c r="K224" s="92">
        <f>'LABOR SHEET'!C$3</f>
        <v>36</v>
      </c>
      <c r="L224" s="93">
        <f t="shared" si="381"/>
        <v>16.920000000000002</v>
      </c>
      <c r="M224" s="93">
        <f t="shared" si="382"/>
        <v>1300.64886</v>
      </c>
      <c r="N224" s="93">
        <v>120</v>
      </c>
      <c r="O224" s="93">
        <f t="shared" si="383"/>
        <v>9224.4599999999991</v>
      </c>
      <c r="P224" s="93">
        <f t="shared" si="384"/>
        <v>136.91999999999999</v>
      </c>
      <c r="Q224" s="112">
        <f t="shared" si="385"/>
        <v>10525.10886</v>
      </c>
      <c r="R224" s="105"/>
      <c r="S224" s="105"/>
    </row>
    <row r="225" spans="1:19" s="28" customFormat="1">
      <c r="A225" s="55">
        <f>IF(F225&lt;&gt;"",1+MAX($A$2:A224),"")</f>
        <v>141</v>
      </c>
      <c r="B225" s="75"/>
      <c r="C225" s="78"/>
      <c r="D225" s="155" t="s">
        <v>218</v>
      </c>
      <c r="E225" s="156">
        <v>15.41</v>
      </c>
      <c r="F225" s="124">
        <v>0.05</v>
      </c>
      <c r="G225" s="64">
        <f t="shared" si="379"/>
        <v>16.180499999999999</v>
      </c>
      <c r="H225" s="125" t="s">
        <v>119</v>
      </c>
      <c r="I225" s="90">
        <v>1.2849999999999999</v>
      </c>
      <c r="J225" s="91">
        <f t="shared" si="380"/>
        <v>20.791942500000001</v>
      </c>
      <c r="K225" s="92">
        <f>'LABOR SHEET'!C$3</f>
        <v>36</v>
      </c>
      <c r="L225" s="93">
        <f t="shared" si="381"/>
        <v>46.26</v>
      </c>
      <c r="M225" s="93">
        <f t="shared" si="382"/>
        <v>748.50993000000005</v>
      </c>
      <c r="N225" s="93">
        <v>225</v>
      </c>
      <c r="O225" s="93">
        <f t="shared" si="383"/>
        <v>3640.6125000000002</v>
      </c>
      <c r="P225" s="93">
        <f t="shared" si="384"/>
        <v>271.26</v>
      </c>
      <c r="Q225" s="112">
        <f t="shared" si="385"/>
        <v>4389.1224300000003</v>
      </c>
      <c r="R225" s="105"/>
      <c r="S225" s="105"/>
    </row>
    <row r="226" spans="1:19" s="28" customFormat="1">
      <c r="A226" s="55">
        <f>IF(F226&lt;&gt;"",1+MAX($A$2:A225),"")</f>
        <v>142</v>
      </c>
      <c r="B226" s="75"/>
      <c r="C226" s="78"/>
      <c r="D226" s="155" t="s">
        <v>219</v>
      </c>
      <c r="E226" s="156">
        <v>86.74</v>
      </c>
      <c r="F226" s="124">
        <v>0.05</v>
      </c>
      <c r="G226" s="64">
        <f t="shared" si="379"/>
        <v>91.076999999999998</v>
      </c>
      <c r="H226" s="125" t="s">
        <v>119</v>
      </c>
      <c r="I226" s="90">
        <v>0.77</v>
      </c>
      <c r="J226" s="91">
        <f t="shared" si="380"/>
        <v>70.129289999999997</v>
      </c>
      <c r="K226" s="92">
        <f>'LABOR SHEET'!C$3</f>
        <v>36</v>
      </c>
      <c r="L226" s="93">
        <f t="shared" si="381"/>
        <v>27.72</v>
      </c>
      <c r="M226" s="93">
        <f t="shared" si="382"/>
        <v>2524.6544399999998</v>
      </c>
      <c r="N226" s="93">
        <v>180</v>
      </c>
      <c r="O226" s="93">
        <f t="shared" si="383"/>
        <v>16393.86</v>
      </c>
      <c r="P226" s="93">
        <f t="shared" si="384"/>
        <v>207.72</v>
      </c>
      <c r="Q226" s="112">
        <f t="shared" si="385"/>
        <v>18918.514439999999</v>
      </c>
      <c r="R226" s="105"/>
      <c r="S226" s="105"/>
    </row>
    <row r="227" spans="1:19" s="28" customFormat="1">
      <c r="A227" s="55">
        <f>IF(F227&lt;&gt;"",1+MAX($A$2:A226),"")</f>
        <v>143</v>
      </c>
      <c r="B227" s="75"/>
      <c r="C227" s="78"/>
      <c r="D227" s="155" t="s">
        <v>220</v>
      </c>
      <c r="E227" s="156">
        <v>52.53</v>
      </c>
      <c r="F227" s="124">
        <v>0.05</v>
      </c>
      <c r="G227" s="64">
        <f t="shared" si="379"/>
        <v>55.156500000000001</v>
      </c>
      <c r="H227" s="125" t="s">
        <v>119</v>
      </c>
      <c r="I227" s="90">
        <v>0.46</v>
      </c>
      <c r="J227" s="91">
        <f t="shared" si="380"/>
        <v>25.37199</v>
      </c>
      <c r="K227" s="92">
        <f>'LABOR SHEET'!C$3</f>
        <v>36</v>
      </c>
      <c r="L227" s="93">
        <f t="shared" si="381"/>
        <v>16.559999999999999</v>
      </c>
      <c r="M227" s="93">
        <f t="shared" si="382"/>
        <v>913.39164000000005</v>
      </c>
      <c r="N227" s="93">
        <v>120</v>
      </c>
      <c r="O227" s="93">
        <f t="shared" si="383"/>
        <v>6618.78</v>
      </c>
      <c r="P227" s="93">
        <f t="shared" si="384"/>
        <v>136.56</v>
      </c>
      <c r="Q227" s="112">
        <f t="shared" si="385"/>
        <v>7532.1716399999996</v>
      </c>
      <c r="R227" s="105"/>
      <c r="S227" s="105"/>
    </row>
    <row r="228" spans="1:19" s="28" customFormat="1">
      <c r="A228" s="55">
        <f>IF(F228&lt;&gt;"",1+MAX($A$2:A227),"")</f>
        <v>144</v>
      </c>
      <c r="B228" s="75"/>
      <c r="C228" s="78"/>
      <c r="D228" s="155" t="s">
        <v>221</v>
      </c>
      <c r="E228" s="156">
        <v>176.63</v>
      </c>
      <c r="F228" s="124">
        <v>0.05</v>
      </c>
      <c r="G228" s="64">
        <f t="shared" si="379"/>
        <v>185.4615</v>
      </c>
      <c r="H228" s="125" t="s">
        <v>119</v>
      </c>
      <c r="I228" s="90">
        <v>1.2</v>
      </c>
      <c r="J228" s="91">
        <f t="shared" si="380"/>
        <v>222.5538</v>
      </c>
      <c r="K228" s="92">
        <f>'LABOR SHEET'!C$3</f>
        <v>36</v>
      </c>
      <c r="L228" s="93">
        <f t="shared" si="381"/>
        <v>43.2</v>
      </c>
      <c r="M228" s="93">
        <f t="shared" si="382"/>
        <v>8011.9368000000004</v>
      </c>
      <c r="N228" s="93">
        <v>225</v>
      </c>
      <c r="O228" s="93">
        <f t="shared" si="383"/>
        <v>41728.837500000001</v>
      </c>
      <c r="P228" s="93">
        <f t="shared" si="384"/>
        <v>268.2</v>
      </c>
      <c r="Q228" s="112">
        <f t="shared" si="385"/>
        <v>49740.774299999997</v>
      </c>
      <c r="R228" s="105"/>
      <c r="S228" s="105"/>
    </row>
    <row r="229" spans="1:19" s="28" customFormat="1">
      <c r="A229" s="55">
        <f>IF(F229&lt;&gt;"",1+MAX($A$2:A228),"")</f>
        <v>145</v>
      </c>
      <c r="B229" s="75"/>
      <c r="C229" s="78"/>
      <c r="D229" s="155" t="s">
        <v>222</v>
      </c>
      <c r="E229" s="156">
        <v>11.27</v>
      </c>
      <c r="F229" s="124">
        <v>0.05</v>
      </c>
      <c r="G229" s="64">
        <f t="shared" si="379"/>
        <v>11.833500000000001</v>
      </c>
      <c r="H229" s="125" t="s">
        <v>119</v>
      </c>
      <c r="I229" s="90">
        <v>1.6850000000000001</v>
      </c>
      <c r="J229" s="91">
        <f t="shared" si="380"/>
        <v>19.9394475</v>
      </c>
      <c r="K229" s="92">
        <f>'LABOR SHEET'!C$3</f>
        <v>36</v>
      </c>
      <c r="L229" s="93">
        <f t="shared" si="381"/>
        <v>60.66</v>
      </c>
      <c r="M229" s="93">
        <f t="shared" si="382"/>
        <v>717.82011</v>
      </c>
      <c r="N229" s="93">
        <v>200</v>
      </c>
      <c r="O229" s="93">
        <f t="shared" si="383"/>
        <v>2366.6999999999998</v>
      </c>
      <c r="P229" s="93">
        <f t="shared" si="384"/>
        <v>260.66000000000003</v>
      </c>
      <c r="Q229" s="112">
        <f t="shared" si="385"/>
        <v>3084.5201099999999</v>
      </c>
      <c r="R229" s="105"/>
      <c r="S229" s="105"/>
    </row>
    <row r="230" spans="1:19" s="28" customFormat="1">
      <c r="A230" s="55">
        <f>IF(F230&lt;&gt;"",1+MAX($A$2:A229),"")</f>
        <v>146</v>
      </c>
      <c r="B230" s="75"/>
      <c r="C230" s="78"/>
      <c r="D230" s="155" t="s">
        <v>223</v>
      </c>
      <c r="E230" s="156">
        <v>4.63</v>
      </c>
      <c r="F230" s="124">
        <v>0.05</v>
      </c>
      <c r="G230" s="64">
        <f t="shared" si="379"/>
        <v>4.8615000000000004</v>
      </c>
      <c r="H230" s="125" t="s">
        <v>119</v>
      </c>
      <c r="I230" s="90">
        <v>0.86</v>
      </c>
      <c r="J230" s="91">
        <f t="shared" si="380"/>
        <v>4.1808899999999998</v>
      </c>
      <c r="K230" s="92">
        <f>'LABOR SHEET'!C$3</f>
        <v>36</v>
      </c>
      <c r="L230" s="93">
        <f t="shared" si="381"/>
        <v>30.96</v>
      </c>
      <c r="M230" s="93">
        <f t="shared" si="382"/>
        <v>150.51204000000001</v>
      </c>
      <c r="N230" s="93">
        <v>170</v>
      </c>
      <c r="O230" s="93">
        <f t="shared" si="383"/>
        <v>826.45500000000004</v>
      </c>
      <c r="P230" s="93">
        <f t="shared" si="384"/>
        <v>200.96</v>
      </c>
      <c r="Q230" s="112">
        <f t="shared" si="385"/>
        <v>976.96704</v>
      </c>
      <c r="R230" s="105"/>
      <c r="S230" s="105"/>
    </row>
    <row r="231" spans="1:19" s="28" customFormat="1">
      <c r="A231" s="55">
        <f>IF(F231&lt;&gt;"",1+MAX($A$2:A230),"")</f>
        <v>147</v>
      </c>
      <c r="B231" s="75"/>
      <c r="C231" s="78"/>
      <c r="D231" s="155" t="s">
        <v>224</v>
      </c>
      <c r="E231" s="156">
        <v>2.63</v>
      </c>
      <c r="F231" s="124">
        <v>0.05</v>
      </c>
      <c r="G231" s="64">
        <f t="shared" si="379"/>
        <v>2.7614999999999998</v>
      </c>
      <c r="H231" s="125" t="s">
        <v>119</v>
      </c>
      <c r="I231" s="90">
        <v>0.72</v>
      </c>
      <c r="J231" s="91">
        <f t="shared" si="380"/>
        <v>1.98828</v>
      </c>
      <c r="K231" s="92">
        <f>'LABOR SHEET'!C$3</f>
        <v>36</v>
      </c>
      <c r="L231" s="93">
        <f t="shared" si="381"/>
        <v>25.92</v>
      </c>
      <c r="M231" s="93">
        <f t="shared" si="382"/>
        <v>71.57808</v>
      </c>
      <c r="N231" s="93">
        <v>140</v>
      </c>
      <c r="O231" s="93">
        <f t="shared" si="383"/>
        <v>386.61</v>
      </c>
      <c r="P231" s="93">
        <f t="shared" si="384"/>
        <v>165.92</v>
      </c>
      <c r="Q231" s="112">
        <f t="shared" si="385"/>
        <v>458.18808000000001</v>
      </c>
      <c r="R231" s="105"/>
      <c r="S231" s="105"/>
    </row>
    <row r="232" spans="1:19" s="28" customFormat="1">
      <c r="A232" s="55">
        <f>IF(F232&lt;&gt;"",1+MAX($A$2:A231),"")</f>
        <v>148</v>
      </c>
      <c r="B232" s="75"/>
      <c r="C232" s="78"/>
      <c r="D232" s="155" t="s">
        <v>225</v>
      </c>
      <c r="E232" s="156">
        <v>10.63</v>
      </c>
      <c r="F232" s="124">
        <v>0.05</v>
      </c>
      <c r="G232" s="64">
        <f t="shared" si="379"/>
        <v>11.1615</v>
      </c>
      <c r="H232" s="125" t="s">
        <v>119</v>
      </c>
      <c r="I232" s="90">
        <v>0.77</v>
      </c>
      <c r="J232" s="91">
        <f t="shared" si="380"/>
        <v>8.5943550000000002</v>
      </c>
      <c r="K232" s="92">
        <f>'LABOR SHEET'!C$3</f>
        <v>36</v>
      </c>
      <c r="L232" s="93">
        <f t="shared" si="381"/>
        <v>27.72</v>
      </c>
      <c r="M232" s="93">
        <f t="shared" si="382"/>
        <v>309.39677999999998</v>
      </c>
      <c r="N232" s="93">
        <v>160</v>
      </c>
      <c r="O232" s="93">
        <f t="shared" si="383"/>
        <v>1785.84</v>
      </c>
      <c r="P232" s="93">
        <f t="shared" si="384"/>
        <v>187.72</v>
      </c>
      <c r="Q232" s="112">
        <f t="shared" si="385"/>
        <v>2095.2367800000002</v>
      </c>
      <c r="R232" s="105"/>
      <c r="S232" s="105"/>
    </row>
    <row r="233" spans="1:19" s="28" customFormat="1">
      <c r="A233" s="55">
        <f>IF(F233&lt;&gt;"",1+MAX($A$2:A232),"")</f>
        <v>149</v>
      </c>
      <c r="B233" s="75"/>
      <c r="C233" s="78"/>
      <c r="D233" s="155" t="s">
        <v>226</v>
      </c>
      <c r="E233" s="156">
        <v>6.8</v>
      </c>
      <c r="F233" s="124">
        <v>0.05</v>
      </c>
      <c r="G233" s="64">
        <f t="shared" si="379"/>
        <v>7.14</v>
      </c>
      <c r="H233" s="125" t="s">
        <v>119</v>
      </c>
      <c r="I233" s="90">
        <v>0.86</v>
      </c>
      <c r="J233" s="91">
        <f t="shared" si="380"/>
        <v>6.1403999999999996</v>
      </c>
      <c r="K233" s="92">
        <f>'LABOR SHEET'!C$3</f>
        <v>36</v>
      </c>
      <c r="L233" s="93">
        <f t="shared" si="381"/>
        <v>30.96</v>
      </c>
      <c r="M233" s="93">
        <f t="shared" si="382"/>
        <v>221.05439999999999</v>
      </c>
      <c r="N233" s="93">
        <v>180</v>
      </c>
      <c r="O233" s="93">
        <f t="shared" si="383"/>
        <v>1285.2</v>
      </c>
      <c r="P233" s="93">
        <f t="shared" si="384"/>
        <v>210.96</v>
      </c>
      <c r="Q233" s="112">
        <f t="shared" si="385"/>
        <v>1506.2544</v>
      </c>
      <c r="R233" s="105"/>
      <c r="S233" s="105"/>
    </row>
    <row r="234" spans="1:19" s="28" customFormat="1">
      <c r="A234" s="55">
        <f>IF(F234&lt;&gt;"",1+MAX($A$2:A233),"")</f>
        <v>150</v>
      </c>
      <c r="B234" s="75"/>
      <c r="C234" s="78"/>
      <c r="D234" s="155" t="s">
        <v>227</v>
      </c>
      <c r="E234" s="156">
        <v>156</v>
      </c>
      <c r="F234" s="124">
        <v>0.05</v>
      </c>
      <c r="G234" s="64">
        <f t="shared" si="379"/>
        <v>163.80000000000001</v>
      </c>
      <c r="H234" s="125" t="s">
        <v>119</v>
      </c>
      <c r="I234" s="90">
        <v>0.68</v>
      </c>
      <c r="J234" s="91">
        <f t="shared" si="380"/>
        <v>111.384</v>
      </c>
      <c r="K234" s="92">
        <f>'LABOR SHEET'!C$3</f>
        <v>36</v>
      </c>
      <c r="L234" s="93">
        <f t="shared" si="381"/>
        <v>24.48</v>
      </c>
      <c r="M234" s="93">
        <f t="shared" si="382"/>
        <v>4009.8240000000001</v>
      </c>
      <c r="N234" s="93">
        <v>90</v>
      </c>
      <c r="O234" s="93">
        <f t="shared" si="383"/>
        <v>14742</v>
      </c>
      <c r="P234" s="93">
        <f t="shared" si="384"/>
        <v>114.48</v>
      </c>
      <c r="Q234" s="112">
        <f t="shared" si="385"/>
        <v>18751.824000000001</v>
      </c>
      <c r="R234" s="105"/>
      <c r="S234" s="105"/>
    </row>
    <row r="235" spans="1:19" s="28" customFormat="1">
      <c r="A235" s="55">
        <f>IF(F235&lt;&gt;"",1+MAX($A$2:A234),"")</f>
        <v>151</v>
      </c>
      <c r="B235" s="75"/>
      <c r="C235" s="78"/>
      <c r="D235" s="155" t="s">
        <v>228</v>
      </c>
      <c r="E235" s="156">
        <v>13.12</v>
      </c>
      <c r="F235" s="124">
        <v>0.05</v>
      </c>
      <c r="G235" s="64">
        <f t="shared" si="379"/>
        <v>13.776</v>
      </c>
      <c r="H235" s="125" t="s">
        <v>119</v>
      </c>
      <c r="I235" s="90">
        <v>0.68</v>
      </c>
      <c r="J235" s="91">
        <f t="shared" si="380"/>
        <v>9.36768</v>
      </c>
      <c r="K235" s="92">
        <f>'LABOR SHEET'!C$3</f>
        <v>36</v>
      </c>
      <c r="L235" s="93">
        <f t="shared" si="381"/>
        <v>24.48</v>
      </c>
      <c r="M235" s="93">
        <f t="shared" si="382"/>
        <v>337.23647999999997</v>
      </c>
      <c r="N235" s="93">
        <v>110</v>
      </c>
      <c r="O235" s="93">
        <f t="shared" si="383"/>
        <v>1515.36</v>
      </c>
      <c r="P235" s="93">
        <f t="shared" si="384"/>
        <v>134.47999999999999</v>
      </c>
      <c r="Q235" s="112">
        <f t="shared" si="385"/>
        <v>1852.5964799999999</v>
      </c>
      <c r="R235" s="105"/>
      <c r="S235" s="105"/>
    </row>
    <row r="236" spans="1:19" s="28" customFormat="1">
      <c r="A236" s="55">
        <f>IF(F236&lt;&gt;"",1+MAX($A$2:A235),"")</f>
        <v>152</v>
      </c>
      <c r="B236" s="75"/>
      <c r="C236" s="78"/>
      <c r="D236" s="155" t="s">
        <v>229</v>
      </c>
      <c r="E236" s="156">
        <v>13</v>
      </c>
      <c r="F236" s="124">
        <v>0.05</v>
      </c>
      <c r="G236" s="64">
        <f t="shared" si="379"/>
        <v>13.65</v>
      </c>
      <c r="H236" s="125" t="s">
        <v>119</v>
      </c>
      <c r="I236" s="90">
        <v>1.2</v>
      </c>
      <c r="J236" s="91">
        <f t="shared" si="380"/>
        <v>16.38</v>
      </c>
      <c r="K236" s="92">
        <f>'LABOR SHEET'!C$3</f>
        <v>36</v>
      </c>
      <c r="L236" s="93">
        <f t="shared" si="381"/>
        <v>43.2</v>
      </c>
      <c r="M236" s="93">
        <f t="shared" si="382"/>
        <v>589.67999999999995</v>
      </c>
      <c r="N236" s="93">
        <v>146</v>
      </c>
      <c r="O236" s="93">
        <f t="shared" si="383"/>
        <v>1992.9</v>
      </c>
      <c r="P236" s="93">
        <f t="shared" si="384"/>
        <v>189.2</v>
      </c>
      <c r="Q236" s="112">
        <f t="shared" si="385"/>
        <v>2582.58</v>
      </c>
      <c r="R236" s="105"/>
      <c r="S236" s="105"/>
    </row>
    <row r="237" spans="1:19" s="28" customFormat="1">
      <c r="A237" s="55">
        <f>IF(F237&lt;&gt;"",1+MAX($A$2:A236),"")</f>
        <v>153</v>
      </c>
      <c r="B237" s="75"/>
      <c r="C237" s="78"/>
      <c r="D237" s="155" t="s">
        <v>230</v>
      </c>
      <c r="E237" s="156">
        <v>5.98</v>
      </c>
      <c r="F237" s="124">
        <v>0.05</v>
      </c>
      <c r="G237" s="64">
        <f t="shared" si="379"/>
        <v>6.2789999999999999</v>
      </c>
      <c r="H237" s="125" t="s">
        <v>119</v>
      </c>
      <c r="I237" s="90">
        <v>1</v>
      </c>
      <c r="J237" s="91">
        <f t="shared" si="380"/>
        <v>6.2789999999999999</v>
      </c>
      <c r="K237" s="92">
        <f>'LABOR SHEET'!C$3</f>
        <v>36</v>
      </c>
      <c r="L237" s="93">
        <f t="shared" si="381"/>
        <v>36</v>
      </c>
      <c r="M237" s="93">
        <f t="shared" si="382"/>
        <v>226.04400000000001</v>
      </c>
      <c r="N237" s="93">
        <v>144</v>
      </c>
      <c r="O237" s="93">
        <f t="shared" si="383"/>
        <v>904.17600000000004</v>
      </c>
      <c r="P237" s="93">
        <f t="shared" si="384"/>
        <v>180</v>
      </c>
      <c r="Q237" s="112">
        <f t="shared" si="385"/>
        <v>1130.22</v>
      </c>
      <c r="R237" s="105"/>
      <c r="S237" s="105"/>
    </row>
    <row r="238" spans="1:19" s="28" customFormat="1">
      <c r="A238" s="55" t="str">
        <f>IF(F238&lt;&gt;"",1+MAX($A$2:A237),"")</f>
        <v/>
      </c>
      <c r="B238" s="75"/>
      <c r="C238" s="78"/>
      <c r="D238" s="144"/>
      <c r="E238" s="60"/>
      <c r="F238" s="124"/>
      <c r="G238" s="145"/>
      <c r="H238" s="125"/>
      <c r="I238" s="90"/>
      <c r="J238" s="91"/>
      <c r="K238" s="92"/>
      <c r="L238" s="93"/>
      <c r="M238" s="93"/>
      <c r="N238" s="93"/>
      <c r="O238" s="93"/>
      <c r="P238" s="93"/>
      <c r="Q238" s="111"/>
      <c r="R238" s="105"/>
      <c r="S238" s="105"/>
    </row>
    <row r="239" spans="1:19" s="29" customFormat="1">
      <c r="A239" s="55" t="str">
        <f>IF(F239&lt;&gt;"",1+MAX($A$2:A238),"")</f>
        <v/>
      </c>
      <c r="B239" s="119"/>
      <c r="C239" s="120"/>
      <c r="D239" s="67" t="s">
        <v>58</v>
      </c>
      <c r="E239" s="68"/>
      <c r="F239" s="68"/>
      <c r="G239" s="68"/>
      <c r="H239" s="68"/>
      <c r="I239" s="68"/>
      <c r="J239" s="130"/>
      <c r="K239" s="130"/>
      <c r="L239" s="131"/>
      <c r="M239" s="132"/>
      <c r="N239" s="131"/>
      <c r="O239" s="98"/>
      <c r="P239" s="98"/>
      <c r="Q239" s="106">
        <f>SUM(Q143:Q237)</f>
        <v>504106.15080645803</v>
      </c>
      <c r="R239" s="107"/>
    </row>
    <row r="240" spans="1:19" s="29" customFormat="1">
      <c r="A240" s="55" t="str">
        <f>IF(F240&lt;&gt;"",1+MAX($A$2:A239),"")</f>
        <v/>
      </c>
      <c r="B240" s="69"/>
      <c r="C240" s="69"/>
      <c r="D240" s="69"/>
      <c r="E240" s="69"/>
      <c r="F240" s="69"/>
      <c r="G240" s="69"/>
      <c r="H240" s="69"/>
      <c r="I240" s="69"/>
      <c r="J240" s="69"/>
      <c r="K240" s="69"/>
      <c r="L240" s="69"/>
      <c r="M240" s="69"/>
      <c r="N240" s="69"/>
      <c r="O240" s="69"/>
      <c r="P240" s="69"/>
      <c r="Q240" s="139"/>
      <c r="R240" s="107"/>
    </row>
    <row r="241" spans="1:19" s="30" customFormat="1">
      <c r="A241" s="45" t="str">
        <f>IF(F241&lt;&gt;"",1+MAX($A$2:A240),"")</f>
        <v/>
      </c>
      <c r="B241" s="46"/>
      <c r="C241" s="47">
        <v>7</v>
      </c>
      <c r="D241" s="70" t="s">
        <v>231</v>
      </c>
      <c r="E241" s="46"/>
      <c r="F241" s="46"/>
      <c r="G241" s="46"/>
      <c r="H241" s="46"/>
      <c r="I241" s="46"/>
      <c r="J241" s="46"/>
      <c r="K241" s="46"/>
      <c r="L241" s="46"/>
      <c r="M241" s="46"/>
      <c r="N241" s="46"/>
      <c r="O241" s="46"/>
      <c r="P241" s="46"/>
      <c r="Q241" s="109"/>
      <c r="S241" s="110"/>
    </row>
    <row r="242" spans="1:19" s="28" customFormat="1">
      <c r="A242" s="55" t="str">
        <f>IF(F242&lt;&gt;"",1+MAX($A$2:A241),"")</f>
        <v/>
      </c>
      <c r="B242" s="71"/>
      <c r="C242" s="60"/>
      <c r="D242" s="143" t="s">
        <v>232</v>
      </c>
      <c r="E242" s="73"/>
      <c r="F242" s="124"/>
      <c r="G242" s="145"/>
      <c r="H242" s="125"/>
      <c r="I242" s="99"/>
      <c r="J242" s="60"/>
      <c r="K242" s="100"/>
      <c r="L242" s="100"/>
      <c r="M242" s="100"/>
      <c r="N242" s="100"/>
      <c r="O242" s="100"/>
      <c r="P242" s="100"/>
      <c r="Q242" s="111"/>
      <c r="R242" s="105"/>
      <c r="S242" s="105"/>
    </row>
    <row r="243" spans="1:19" s="28" customFormat="1">
      <c r="A243" s="55" t="str">
        <f>IF(F243&lt;&gt;"",1+MAX($A$2:A242),"")</f>
        <v/>
      </c>
      <c r="B243" s="75"/>
      <c r="C243" s="157"/>
      <c r="D243" s="158" t="s">
        <v>233</v>
      </c>
      <c r="E243" s="84"/>
      <c r="F243" s="124"/>
      <c r="G243" s="145"/>
      <c r="H243" s="125"/>
      <c r="I243" s="99"/>
      <c r="J243" s="60"/>
      <c r="K243" s="101"/>
      <c r="L243" s="101"/>
      <c r="M243" s="101"/>
      <c r="N243" s="101"/>
      <c r="O243" s="101"/>
      <c r="P243" s="101"/>
      <c r="Q243" s="111"/>
      <c r="R243" s="105"/>
      <c r="S243" s="105"/>
    </row>
    <row r="244" spans="1:19" s="28" customFormat="1">
      <c r="A244" s="55">
        <f>IF(F244&lt;&gt;"",1+MAX($A$2:A243),"")</f>
        <v>154</v>
      </c>
      <c r="B244" s="75"/>
      <c r="C244" s="56"/>
      <c r="D244" s="155" t="s">
        <v>234</v>
      </c>
      <c r="E244" s="159">
        <v>16708</v>
      </c>
      <c r="F244" s="59">
        <v>0.1</v>
      </c>
      <c r="G244" s="64">
        <f t="shared" ref="G244:G246" si="386">(F244*E244)+E244</f>
        <v>18378.8</v>
      </c>
      <c r="H244" s="58" t="s">
        <v>67</v>
      </c>
      <c r="I244" s="90">
        <v>0.01</v>
      </c>
      <c r="J244" s="91">
        <f t="shared" ref="J244" si="387">+I244*G244</f>
        <v>183.78800000000001</v>
      </c>
      <c r="K244" s="92">
        <f>'LABOR SHEET'!C$3</f>
        <v>36</v>
      </c>
      <c r="L244" s="93">
        <f t="shared" ref="L244" si="388">I244*K244</f>
        <v>0.36</v>
      </c>
      <c r="M244" s="93">
        <f t="shared" ref="M244" si="389">K244*J244</f>
        <v>6616.3680000000004</v>
      </c>
      <c r="N244" s="93">
        <v>1.4</v>
      </c>
      <c r="O244" s="93">
        <f t="shared" ref="O244" si="390">N244*G244</f>
        <v>25730.32</v>
      </c>
      <c r="P244" s="93">
        <f t="shared" ref="P244" si="391">(I244*K244)+N244</f>
        <v>1.76</v>
      </c>
      <c r="Q244" s="112">
        <f t="shared" ref="Q244" si="392">P244*G244</f>
        <v>32346.687999999998</v>
      </c>
      <c r="R244" s="105"/>
      <c r="S244" s="105"/>
    </row>
    <row r="245" spans="1:19" s="28" customFormat="1">
      <c r="A245" s="55" t="str">
        <f>IF(F245&lt;&gt;"",1+MAX($A$2:A244),"")</f>
        <v/>
      </c>
      <c r="B245" s="75"/>
      <c r="C245" s="157"/>
      <c r="D245" s="158" t="s">
        <v>235</v>
      </c>
      <c r="E245" s="60"/>
      <c r="F245" s="124"/>
      <c r="G245" s="64"/>
      <c r="H245" s="160"/>
      <c r="I245" s="99"/>
      <c r="J245" s="101"/>
      <c r="K245" s="101"/>
      <c r="L245" s="101"/>
      <c r="M245" s="101"/>
      <c r="N245" s="101"/>
      <c r="O245" s="101"/>
      <c r="P245" s="101"/>
      <c r="Q245" s="111"/>
      <c r="R245" s="105"/>
      <c r="S245" s="105"/>
    </row>
    <row r="246" spans="1:19" s="28" customFormat="1">
      <c r="A246" s="55">
        <f>IF(F246&lt;&gt;"",1+MAX($A$2:A245),"")</f>
        <v>155</v>
      </c>
      <c r="B246" s="75"/>
      <c r="C246" s="56"/>
      <c r="D246" s="155" t="s">
        <v>236</v>
      </c>
      <c r="E246" s="159">
        <v>18713</v>
      </c>
      <c r="F246" s="59">
        <v>0.1</v>
      </c>
      <c r="G246" s="64">
        <f t="shared" si="386"/>
        <v>20584.3</v>
      </c>
      <c r="H246" s="58" t="s">
        <v>67</v>
      </c>
      <c r="I246" s="90">
        <v>1.2E-2</v>
      </c>
      <c r="J246" s="91">
        <f t="shared" ref="J246" si="393">+I246*G246</f>
        <v>247.01159999999999</v>
      </c>
      <c r="K246" s="92">
        <f>'LABOR SHEET'!C$3</f>
        <v>36</v>
      </c>
      <c r="L246" s="93">
        <f t="shared" ref="L246" si="394">I246*K246</f>
        <v>0.432</v>
      </c>
      <c r="M246" s="93">
        <f t="shared" ref="M246" si="395">K246*J246</f>
        <v>8892.4176000000007</v>
      </c>
      <c r="N246" s="93">
        <v>1.69</v>
      </c>
      <c r="O246" s="93">
        <f t="shared" ref="O246" si="396">N246*G246</f>
        <v>34787.466999999997</v>
      </c>
      <c r="P246" s="93">
        <f t="shared" ref="P246" si="397">(I246*K246)+N246</f>
        <v>2.1219999999999999</v>
      </c>
      <c r="Q246" s="112">
        <f t="shared" ref="Q246" si="398">P246*G246</f>
        <v>43679.884599999998</v>
      </c>
      <c r="R246" s="105"/>
      <c r="S246" s="105"/>
    </row>
    <row r="247" spans="1:19" s="28" customFormat="1">
      <c r="A247" s="55"/>
      <c r="B247" s="75"/>
      <c r="C247" s="157"/>
      <c r="D247" s="155"/>
      <c r="E247" s="161"/>
      <c r="F247" s="59"/>
      <c r="G247" s="64"/>
      <c r="H247" s="58"/>
      <c r="I247" s="90"/>
      <c r="J247" s="91"/>
      <c r="K247" s="92"/>
      <c r="L247" s="93"/>
      <c r="M247" s="93"/>
      <c r="N247" s="93"/>
      <c r="O247" s="93"/>
      <c r="P247" s="93"/>
      <c r="Q247" s="112"/>
      <c r="R247" s="105"/>
      <c r="S247" s="105"/>
    </row>
    <row r="248" spans="1:19" s="28" customFormat="1">
      <c r="A248" s="55" t="str">
        <f>IF(F248&lt;&gt;"",1+MAX($A$2:A246),"")</f>
        <v/>
      </c>
      <c r="B248" s="71"/>
      <c r="C248" s="66"/>
      <c r="D248" s="143" t="s">
        <v>237</v>
      </c>
      <c r="E248" s="73"/>
      <c r="F248" s="124"/>
      <c r="G248" s="145"/>
      <c r="H248" s="125"/>
      <c r="I248" s="101"/>
      <c r="J248" s="101"/>
      <c r="K248" s="100"/>
      <c r="L248" s="100"/>
      <c r="M248" s="100"/>
      <c r="N248" s="100"/>
      <c r="O248" s="100"/>
      <c r="P248" s="101"/>
      <c r="Q248" s="111"/>
      <c r="R248" s="105"/>
      <c r="S248" s="105"/>
    </row>
    <row r="249" spans="1:19" s="28" customFormat="1">
      <c r="A249" s="55" t="str">
        <f>IF(F249&lt;&gt;"",1+MAX($A$2:A248),"")</f>
        <v/>
      </c>
      <c r="B249" s="75"/>
      <c r="C249" s="56"/>
      <c r="D249" s="76" t="s">
        <v>238</v>
      </c>
      <c r="E249" s="60"/>
      <c r="F249" s="124"/>
      <c r="G249" s="145"/>
      <c r="H249" s="125"/>
      <c r="I249" s="101"/>
      <c r="J249" s="101"/>
      <c r="K249" s="101"/>
      <c r="L249" s="101"/>
      <c r="M249" s="101"/>
      <c r="N249" s="101"/>
      <c r="O249" s="101"/>
      <c r="P249" s="101"/>
      <c r="Q249" s="111"/>
      <c r="R249" s="105"/>
      <c r="S249" s="105"/>
    </row>
    <row r="250" spans="1:19" s="28" customFormat="1">
      <c r="A250" s="55">
        <f>IF(F250&lt;&gt;"",1+MAX($A$2:A249),"")</f>
        <v>156</v>
      </c>
      <c r="B250" s="75"/>
      <c r="C250" s="56"/>
      <c r="D250" s="155" t="s">
        <v>239</v>
      </c>
      <c r="E250" s="156">
        <v>14551</v>
      </c>
      <c r="F250" s="59">
        <v>0.1</v>
      </c>
      <c r="G250" s="64">
        <f t="shared" ref="G250:G253" si="399">(F250*E250)+E250</f>
        <v>16006.1</v>
      </c>
      <c r="H250" s="58" t="s">
        <v>67</v>
      </c>
      <c r="I250" s="90">
        <v>6.6000000000000003E-2</v>
      </c>
      <c r="J250" s="91">
        <f t="shared" ref="J250" si="400">+I250*G250</f>
        <v>1056.4025999999999</v>
      </c>
      <c r="K250" s="92">
        <f>'LABOR SHEET'!C$15</f>
        <v>34.5</v>
      </c>
      <c r="L250" s="93">
        <f t="shared" ref="L250" si="401">I250*K250</f>
        <v>2.2770000000000001</v>
      </c>
      <c r="M250" s="93">
        <f t="shared" ref="M250" si="402">K250*J250</f>
        <v>36445.8897</v>
      </c>
      <c r="N250" s="93">
        <v>5.65</v>
      </c>
      <c r="O250" s="93">
        <f t="shared" ref="O250" si="403">N250*G250</f>
        <v>90434.464999999997</v>
      </c>
      <c r="P250" s="93">
        <f t="shared" ref="P250" si="404">(I250*K250)+N250</f>
        <v>7.9269999999999996</v>
      </c>
      <c r="Q250" s="112">
        <f t="shared" ref="Q250" si="405">P250*G250</f>
        <v>126880.3547</v>
      </c>
      <c r="R250" s="105"/>
      <c r="S250" s="105"/>
    </row>
    <row r="251" spans="1:19" s="28" customFormat="1">
      <c r="A251" s="55">
        <f>IF(F251&lt;&gt;"",1+MAX($A$2:A250),"")</f>
        <v>157</v>
      </c>
      <c r="B251" s="75"/>
      <c r="C251" s="56"/>
      <c r="D251" s="155" t="s">
        <v>240</v>
      </c>
      <c r="E251" s="156">
        <v>4162</v>
      </c>
      <c r="F251" s="59">
        <v>0.1</v>
      </c>
      <c r="G251" s="64">
        <f t="shared" si="399"/>
        <v>4578.2</v>
      </c>
      <c r="H251" s="58" t="s">
        <v>67</v>
      </c>
      <c r="I251" s="90">
        <v>3.5999999999999997E-2</v>
      </c>
      <c r="J251" s="91">
        <f t="shared" ref="J251:J253" si="406">+I251*G251</f>
        <v>164.8152</v>
      </c>
      <c r="K251" s="92">
        <f>'LABOR SHEET'!C$15</f>
        <v>34.5</v>
      </c>
      <c r="L251" s="93">
        <f t="shared" ref="L251:L253" si="407">I251*K251</f>
        <v>1.242</v>
      </c>
      <c r="M251" s="93">
        <f t="shared" ref="M251:M253" si="408">K251*J251</f>
        <v>5686.1243999999997</v>
      </c>
      <c r="N251" s="93">
        <v>3.03</v>
      </c>
      <c r="O251" s="93">
        <f t="shared" ref="O251:O253" si="409">N251*G251</f>
        <v>13871.946</v>
      </c>
      <c r="P251" s="93">
        <f t="shared" ref="P251:P253" si="410">(I251*K251)+N251</f>
        <v>4.2720000000000002</v>
      </c>
      <c r="Q251" s="112">
        <f t="shared" ref="Q251:Q253" si="411">P251*G251</f>
        <v>19558.070400000001</v>
      </c>
      <c r="R251" s="105"/>
      <c r="S251" s="105"/>
    </row>
    <row r="252" spans="1:19" s="28" customFormat="1">
      <c r="A252" s="55">
        <f>IF(F252&lt;&gt;"",1+MAX($A$2:A251),"")</f>
        <v>158</v>
      </c>
      <c r="B252" s="75"/>
      <c r="C252" s="56"/>
      <c r="D252" s="155" t="s">
        <v>241</v>
      </c>
      <c r="E252" s="156">
        <v>18713</v>
      </c>
      <c r="F252" s="59">
        <v>0.1</v>
      </c>
      <c r="G252" s="64">
        <f t="shared" si="399"/>
        <v>20584.3</v>
      </c>
      <c r="H252" s="58" t="s">
        <v>67</v>
      </c>
      <c r="I252" s="90">
        <v>1.2E-2</v>
      </c>
      <c r="J252" s="91">
        <f t="shared" si="406"/>
        <v>247.01159999999999</v>
      </c>
      <c r="K252" s="92">
        <f>'LABOR SHEET'!C$15</f>
        <v>34.5</v>
      </c>
      <c r="L252" s="93">
        <f t="shared" si="407"/>
        <v>0.41399999999999998</v>
      </c>
      <c r="M252" s="93">
        <f t="shared" si="408"/>
        <v>8521.9002</v>
      </c>
      <c r="N252" s="93">
        <v>1.06</v>
      </c>
      <c r="O252" s="93">
        <f t="shared" si="409"/>
        <v>21819.358</v>
      </c>
      <c r="P252" s="93">
        <f t="shared" si="410"/>
        <v>1.474</v>
      </c>
      <c r="Q252" s="112">
        <f t="shared" si="411"/>
        <v>30341.2582</v>
      </c>
      <c r="R252" s="105"/>
      <c r="S252" s="105"/>
    </row>
    <row r="253" spans="1:19" s="28" customFormat="1">
      <c r="A253" s="55">
        <f>IF(F253&lt;&gt;"",1+MAX($A$2:A252),"")</f>
        <v>159</v>
      </c>
      <c r="B253" s="75"/>
      <c r="C253" s="56"/>
      <c r="D253" s="155" t="s">
        <v>242</v>
      </c>
      <c r="E253" s="156">
        <v>18713</v>
      </c>
      <c r="F253" s="124">
        <v>0.1</v>
      </c>
      <c r="G253" s="64">
        <f t="shared" si="399"/>
        <v>20584.3</v>
      </c>
      <c r="H253" s="125" t="s">
        <v>67</v>
      </c>
      <c r="I253" s="90">
        <v>7.0000000000000001E-3</v>
      </c>
      <c r="J253" s="91">
        <f t="shared" si="406"/>
        <v>144.09010000000001</v>
      </c>
      <c r="K253" s="92">
        <f>'LABOR SHEET'!C$15</f>
        <v>34.5</v>
      </c>
      <c r="L253" s="93">
        <f t="shared" si="407"/>
        <v>0.24149999999999999</v>
      </c>
      <c r="M253" s="93">
        <f t="shared" si="408"/>
        <v>4971.1084499999997</v>
      </c>
      <c r="N253" s="93">
        <v>0.4</v>
      </c>
      <c r="O253" s="93">
        <f t="shared" si="409"/>
        <v>8233.7199999999993</v>
      </c>
      <c r="P253" s="93">
        <f t="shared" si="410"/>
        <v>0.64149999999999996</v>
      </c>
      <c r="Q253" s="112">
        <f t="shared" si="411"/>
        <v>13204.828450000001</v>
      </c>
      <c r="R253" s="105"/>
      <c r="S253" s="105"/>
    </row>
    <row r="254" spans="1:19" s="28" customFormat="1">
      <c r="A254" s="55"/>
      <c r="B254" s="75"/>
      <c r="C254" s="56"/>
      <c r="D254" s="162"/>
      <c r="E254" s="156"/>
      <c r="F254" s="124"/>
      <c r="G254" s="64"/>
      <c r="H254" s="163"/>
      <c r="I254" s="90"/>
      <c r="J254" s="91"/>
      <c r="K254" s="92"/>
      <c r="L254" s="93"/>
      <c r="M254" s="93"/>
      <c r="N254" s="93"/>
      <c r="O254" s="93"/>
      <c r="P254" s="93"/>
      <c r="Q254" s="112"/>
      <c r="R254" s="105"/>
      <c r="S254" s="105"/>
    </row>
    <row r="255" spans="1:19" s="28" customFormat="1">
      <c r="A255" s="55" t="str">
        <f>IF(F255&lt;&gt;"",1+MAX($A$2:A253),"")</f>
        <v/>
      </c>
      <c r="B255" s="75"/>
      <c r="C255" s="56"/>
      <c r="D255" s="76" t="s">
        <v>243</v>
      </c>
      <c r="E255" s="60"/>
      <c r="F255" s="59"/>
      <c r="G255" s="60"/>
      <c r="H255" s="164"/>
      <c r="I255" s="101"/>
      <c r="J255" s="101"/>
      <c r="K255" s="101"/>
      <c r="L255" s="101"/>
      <c r="M255" s="101"/>
      <c r="N255" s="101"/>
      <c r="O255" s="101"/>
      <c r="P255" s="101"/>
      <c r="Q255" s="111"/>
      <c r="R255" s="105"/>
      <c r="S255" s="105"/>
    </row>
    <row r="256" spans="1:19" s="28" customFormat="1">
      <c r="A256" s="55">
        <f>IF(F256&lt;&gt;"",1+MAX($A$2:A255),"")</f>
        <v>160</v>
      </c>
      <c r="B256" s="75"/>
      <c r="C256" s="56"/>
      <c r="D256" s="155" t="s">
        <v>244</v>
      </c>
      <c r="E256" s="156">
        <v>312.74</v>
      </c>
      <c r="F256" s="124">
        <v>0.05</v>
      </c>
      <c r="G256" s="64">
        <f t="shared" ref="G256:G258" si="412">(F256*E256)+E256</f>
        <v>328.37700000000001</v>
      </c>
      <c r="H256" s="58" t="s">
        <v>119</v>
      </c>
      <c r="I256" s="90">
        <v>6.5000000000000002E-2</v>
      </c>
      <c r="J256" s="91">
        <f t="shared" ref="J256:J258" si="413">+I256*G256</f>
        <v>21.344505000000002</v>
      </c>
      <c r="K256" s="92">
        <f>'LABOR SHEET'!C$15</f>
        <v>34.5</v>
      </c>
      <c r="L256" s="93">
        <f t="shared" ref="L256:L258" si="414">I256*K256</f>
        <v>2.2425000000000002</v>
      </c>
      <c r="M256" s="93">
        <f t="shared" ref="M256:M258" si="415">K256*J256</f>
        <v>736.3854225</v>
      </c>
      <c r="N256" s="93">
        <v>4.5999999999999996</v>
      </c>
      <c r="O256" s="93">
        <f t="shared" ref="O256:O258" si="416">N256*G256</f>
        <v>1510.5342000000001</v>
      </c>
      <c r="P256" s="93">
        <f t="shared" ref="P256:P258" si="417">(I256*K256)+N256</f>
        <v>6.8425000000000002</v>
      </c>
      <c r="Q256" s="112">
        <f t="shared" ref="Q256:Q258" si="418">P256*G256</f>
        <v>2246.9196225000001</v>
      </c>
      <c r="R256" s="105"/>
      <c r="S256" s="105"/>
    </row>
    <row r="257" spans="1:19" s="28" customFormat="1">
      <c r="A257" s="55">
        <f>IF(F257&lt;&gt;"",1+MAX($A$2:A256),"")</f>
        <v>161</v>
      </c>
      <c r="B257" s="75"/>
      <c r="C257" s="56"/>
      <c r="D257" s="155" t="s">
        <v>245</v>
      </c>
      <c r="E257" s="156">
        <v>912.85</v>
      </c>
      <c r="F257" s="124">
        <v>0.05</v>
      </c>
      <c r="G257" s="64">
        <f t="shared" si="412"/>
        <v>958.49249999999995</v>
      </c>
      <c r="H257" s="58" t="s">
        <v>119</v>
      </c>
      <c r="I257" s="90">
        <v>6.6000000000000003E-2</v>
      </c>
      <c r="J257" s="91">
        <f t="shared" si="413"/>
        <v>63.260505000000002</v>
      </c>
      <c r="K257" s="92">
        <f>'LABOR SHEET'!C$15</f>
        <v>34.5</v>
      </c>
      <c r="L257" s="93">
        <f t="shared" si="414"/>
        <v>2.2770000000000001</v>
      </c>
      <c r="M257" s="93">
        <f t="shared" si="415"/>
        <v>2182.4874224999999</v>
      </c>
      <c r="N257" s="93">
        <v>4.7</v>
      </c>
      <c r="O257" s="93">
        <f t="shared" si="416"/>
        <v>4504.9147499999999</v>
      </c>
      <c r="P257" s="93">
        <f t="shared" si="417"/>
        <v>6.9770000000000003</v>
      </c>
      <c r="Q257" s="112">
        <f t="shared" si="418"/>
        <v>6687.4021725000002</v>
      </c>
      <c r="R257" s="105"/>
      <c r="S257" s="105"/>
    </row>
    <row r="258" spans="1:19" s="28" customFormat="1">
      <c r="A258" s="55">
        <f>IF(F258&lt;&gt;"",1+MAX($A$2:A257),"")</f>
        <v>162</v>
      </c>
      <c r="B258" s="75"/>
      <c r="C258" s="56"/>
      <c r="D258" s="155" t="s">
        <v>246</v>
      </c>
      <c r="E258" s="156">
        <v>761.19</v>
      </c>
      <c r="F258" s="124">
        <v>0.05</v>
      </c>
      <c r="G258" s="64">
        <f t="shared" si="412"/>
        <v>799.24950000000001</v>
      </c>
      <c r="H258" s="58" t="s">
        <v>119</v>
      </c>
      <c r="I258" s="90">
        <v>7.1999999999999995E-2</v>
      </c>
      <c r="J258" s="91">
        <f t="shared" si="413"/>
        <v>57.545963999999998</v>
      </c>
      <c r="K258" s="92">
        <f>'LABOR SHEET'!C$15</f>
        <v>34.5</v>
      </c>
      <c r="L258" s="93">
        <f t="shared" si="414"/>
        <v>2.484</v>
      </c>
      <c r="M258" s="93">
        <f t="shared" si="415"/>
        <v>1985.3357579999999</v>
      </c>
      <c r="N258" s="93">
        <v>4.9000000000000004</v>
      </c>
      <c r="O258" s="93">
        <f t="shared" si="416"/>
        <v>3916.3225499999999</v>
      </c>
      <c r="P258" s="93">
        <f t="shared" si="417"/>
        <v>7.3840000000000003</v>
      </c>
      <c r="Q258" s="112">
        <f t="shared" si="418"/>
        <v>5901.658308</v>
      </c>
      <c r="R258" s="105"/>
      <c r="S258" s="105"/>
    </row>
    <row r="259" spans="1:19" s="28" customFormat="1">
      <c r="A259" s="55"/>
      <c r="B259" s="75"/>
      <c r="C259" s="56"/>
      <c r="D259" s="162"/>
      <c r="E259" s="156"/>
      <c r="F259" s="124"/>
      <c r="G259" s="64"/>
      <c r="H259" s="80"/>
      <c r="I259" s="90"/>
      <c r="J259" s="91"/>
      <c r="K259" s="92"/>
      <c r="L259" s="93"/>
      <c r="M259" s="93"/>
      <c r="N259" s="93"/>
      <c r="O259" s="93"/>
      <c r="P259" s="93"/>
      <c r="Q259" s="112"/>
      <c r="R259" s="105"/>
      <c r="S259" s="105"/>
    </row>
    <row r="260" spans="1:19" s="28" customFormat="1">
      <c r="A260" s="55" t="str">
        <f>IF(F260&lt;&gt;"",1+MAX($A$2:A258),"")</f>
        <v/>
      </c>
      <c r="B260" s="75"/>
      <c r="C260" s="56"/>
      <c r="D260" s="76" t="s">
        <v>247</v>
      </c>
      <c r="E260" s="60"/>
      <c r="F260" s="59"/>
      <c r="G260" s="60"/>
      <c r="H260" s="164"/>
      <c r="I260" s="101"/>
      <c r="J260" s="101"/>
      <c r="K260" s="101"/>
      <c r="L260" s="101"/>
      <c r="M260" s="101"/>
      <c r="N260" s="101"/>
      <c r="O260" s="101"/>
      <c r="P260" s="101"/>
      <c r="Q260" s="111"/>
      <c r="R260" s="105"/>
      <c r="S260" s="105"/>
    </row>
    <row r="261" spans="1:19" s="28" customFormat="1">
      <c r="A261" s="55">
        <f>IF(F261&lt;&gt;"",1+MAX($A$2:A260),"")</f>
        <v>163</v>
      </c>
      <c r="B261" s="75"/>
      <c r="C261" s="56"/>
      <c r="D261" s="155" t="s">
        <v>248</v>
      </c>
      <c r="E261" s="156">
        <v>312.74</v>
      </c>
      <c r="F261" s="59">
        <v>0.05</v>
      </c>
      <c r="G261" s="64">
        <f t="shared" ref="G261:G266" si="419">(F261*E261)+E261</f>
        <v>328.37700000000001</v>
      </c>
      <c r="H261" s="58" t="s">
        <v>67</v>
      </c>
      <c r="I261" s="90">
        <v>4.2000000000000003E-2</v>
      </c>
      <c r="J261" s="91">
        <f t="shared" ref="J261:J266" si="420">+I261*G261</f>
        <v>13.791834</v>
      </c>
      <c r="K261" s="92">
        <f>'LABOR SHEET'!C$15</f>
        <v>34.5</v>
      </c>
      <c r="L261" s="93">
        <f t="shared" ref="L261:L266" si="421">I261*K261</f>
        <v>1.4490000000000001</v>
      </c>
      <c r="M261" s="93">
        <f t="shared" ref="M261:M266" si="422">K261*J261</f>
        <v>475.81827299999998</v>
      </c>
      <c r="N261" s="93">
        <v>3.56</v>
      </c>
      <c r="O261" s="93">
        <f t="shared" ref="O261:O266" si="423">N261*G261</f>
        <v>1169.0221200000001</v>
      </c>
      <c r="P261" s="93">
        <f t="shared" ref="P261:P266" si="424">(I261*K261)+N261</f>
        <v>5.0090000000000003</v>
      </c>
      <c r="Q261" s="112">
        <f t="shared" ref="Q261:Q266" si="425">P261*G261</f>
        <v>1644.8403929999999</v>
      </c>
      <c r="R261" s="105"/>
      <c r="S261" s="105"/>
    </row>
    <row r="262" spans="1:19" s="28" customFormat="1">
      <c r="A262" s="55">
        <f>IF(F262&lt;&gt;"",1+MAX($A$2:A261),"")</f>
        <v>164</v>
      </c>
      <c r="B262" s="75"/>
      <c r="C262" s="56"/>
      <c r="D262" s="155" t="s">
        <v>249</v>
      </c>
      <c r="E262" s="156">
        <v>312.74</v>
      </c>
      <c r="F262" s="124">
        <v>0.05</v>
      </c>
      <c r="G262" s="64">
        <f t="shared" si="419"/>
        <v>328.37700000000001</v>
      </c>
      <c r="H262" s="58" t="s">
        <v>119</v>
      </c>
      <c r="I262" s="90">
        <v>4.5999999999999999E-2</v>
      </c>
      <c r="J262" s="91">
        <f t="shared" si="420"/>
        <v>15.105342</v>
      </c>
      <c r="K262" s="92">
        <f>'LABOR SHEET'!C$15</f>
        <v>34.5</v>
      </c>
      <c r="L262" s="93">
        <f t="shared" si="421"/>
        <v>1.587</v>
      </c>
      <c r="M262" s="93">
        <f t="shared" si="422"/>
        <v>521.13429900000006</v>
      </c>
      <c r="N262" s="93">
        <v>3.3</v>
      </c>
      <c r="O262" s="93">
        <f t="shared" si="423"/>
        <v>1083.6441</v>
      </c>
      <c r="P262" s="93">
        <f t="shared" si="424"/>
        <v>4.8869999999999996</v>
      </c>
      <c r="Q262" s="112">
        <f t="shared" si="425"/>
        <v>1604.778399</v>
      </c>
      <c r="R262" s="105"/>
      <c r="S262" s="105"/>
    </row>
    <row r="263" spans="1:19" s="28" customFormat="1">
      <c r="A263" s="55">
        <f>IF(F263&lt;&gt;"",1+MAX($A$2:A262),"")</f>
        <v>165</v>
      </c>
      <c r="B263" s="75"/>
      <c r="C263" s="56"/>
      <c r="D263" s="155" t="s">
        <v>250</v>
      </c>
      <c r="E263" s="156">
        <v>69.69</v>
      </c>
      <c r="F263" s="124">
        <v>0.05</v>
      </c>
      <c r="G263" s="64">
        <f t="shared" si="419"/>
        <v>73.174499999999995</v>
      </c>
      <c r="H263" s="58" t="s">
        <v>119</v>
      </c>
      <c r="I263" s="90">
        <v>2.7E-2</v>
      </c>
      <c r="J263" s="91">
        <f t="shared" si="420"/>
        <v>1.9757115000000001</v>
      </c>
      <c r="K263" s="92">
        <f>'LABOR SHEET'!C$15</f>
        <v>34.5</v>
      </c>
      <c r="L263" s="93">
        <f t="shared" si="421"/>
        <v>0.93149999999999999</v>
      </c>
      <c r="M263" s="93">
        <f t="shared" si="422"/>
        <v>68.162046750000002</v>
      </c>
      <c r="N263" s="93">
        <v>1.98</v>
      </c>
      <c r="O263" s="93">
        <f t="shared" si="423"/>
        <v>144.88551000000001</v>
      </c>
      <c r="P263" s="93">
        <f t="shared" si="424"/>
        <v>2.9115000000000002</v>
      </c>
      <c r="Q263" s="112">
        <f t="shared" si="425"/>
        <v>213.04755675000001</v>
      </c>
      <c r="R263" s="105"/>
      <c r="S263" s="105"/>
    </row>
    <row r="264" spans="1:19" s="28" customFormat="1">
      <c r="A264" s="55">
        <f>IF(F264&lt;&gt;"",1+MAX($A$2:A263),"")</f>
        <v>166</v>
      </c>
      <c r="B264" s="75"/>
      <c r="C264" s="56"/>
      <c r="D264" s="155" t="s">
        <v>251</v>
      </c>
      <c r="E264" s="156">
        <v>2198</v>
      </c>
      <c r="F264" s="59">
        <v>0.1</v>
      </c>
      <c r="G264" s="64">
        <f t="shared" si="419"/>
        <v>2417.8000000000002</v>
      </c>
      <c r="H264" s="58" t="s">
        <v>67</v>
      </c>
      <c r="I264" s="90">
        <v>4.2000000000000003E-2</v>
      </c>
      <c r="J264" s="91">
        <f t="shared" si="420"/>
        <v>101.5476</v>
      </c>
      <c r="K264" s="92">
        <f>'LABOR SHEET'!C$15</f>
        <v>34.5</v>
      </c>
      <c r="L264" s="93">
        <f t="shared" si="421"/>
        <v>1.4490000000000001</v>
      </c>
      <c r="M264" s="93">
        <f t="shared" si="422"/>
        <v>3503.3921999999998</v>
      </c>
      <c r="N264" s="93">
        <v>2.66</v>
      </c>
      <c r="O264" s="93">
        <f t="shared" si="423"/>
        <v>6431.348</v>
      </c>
      <c r="P264" s="93">
        <f t="shared" si="424"/>
        <v>4.109</v>
      </c>
      <c r="Q264" s="112">
        <f t="shared" si="425"/>
        <v>9934.7402000000002</v>
      </c>
      <c r="R264" s="105"/>
      <c r="S264" s="105"/>
    </row>
    <row r="265" spans="1:19" s="28" customFormat="1">
      <c r="A265" s="55">
        <f>IF(F265&lt;&gt;"",1+MAX($A$2:A264),"")</f>
        <v>167</v>
      </c>
      <c r="B265" s="75"/>
      <c r="C265" s="56"/>
      <c r="D265" s="155" t="s">
        <v>252</v>
      </c>
      <c r="E265" s="156">
        <v>1098.76</v>
      </c>
      <c r="F265" s="124">
        <v>0.05</v>
      </c>
      <c r="G265" s="64">
        <f t="shared" si="419"/>
        <v>1153.6980000000001</v>
      </c>
      <c r="H265" s="58" t="s">
        <v>119</v>
      </c>
      <c r="I265" s="90">
        <v>6.7000000000000004E-2</v>
      </c>
      <c r="J265" s="91">
        <f t="shared" si="420"/>
        <v>77.297765999999996</v>
      </c>
      <c r="K265" s="92">
        <f>'LABOR SHEET'!C$15</f>
        <v>34.5</v>
      </c>
      <c r="L265" s="93">
        <f t="shared" si="421"/>
        <v>2.3115000000000001</v>
      </c>
      <c r="M265" s="93">
        <f t="shared" si="422"/>
        <v>2666.772927</v>
      </c>
      <c r="N265" s="93">
        <v>3.6</v>
      </c>
      <c r="O265" s="93">
        <f t="shared" si="423"/>
        <v>4153.3127999999997</v>
      </c>
      <c r="P265" s="93">
        <f t="shared" si="424"/>
        <v>5.9115000000000002</v>
      </c>
      <c r="Q265" s="112">
        <f t="shared" si="425"/>
        <v>6820.0857269999997</v>
      </c>
      <c r="R265" s="105"/>
      <c r="S265" s="105"/>
    </row>
    <row r="266" spans="1:19" s="28" customFormat="1">
      <c r="A266" s="55">
        <f>IF(F266&lt;&gt;"",1+MAX($A$2:A265),"")</f>
        <v>168</v>
      </c>
      <c r="B266" s="75"/>
      <c r="C266" s="56"/>
      <c r="D266" s="155" t="s">
        <v>253</v>
      </c>
      <c r="E266" s="159">
        <v>540</v>
      </c>
      <c r="F266" s="59">
        <v>0.05</v>
      </c>
      <c r="G266" s="64">
        <f t="shared" si="419"/>
        <v>567</v>
      </c>
      <c r="H266" s="58" t="s">
        <v>119</v>
      </c>
      <c r="I266" s="90">
        <v>0.06</v>
      </c>
      <c r="J266" s="91">
        <f t="shared" si="420"/>
        <v>34.020000000000003</v>
      </c>
      <c r="K266" s="92">
        <f>'LABOR SHEET'!C$15</f>
        <v>34.5</v>
      </c>
      <c r="L266" s="93">
        <f t="shared" si="421"/>
        <v>2.0699999999999998</v>
      </c>
      <c r="M266" s="93">
        <f t="shared" si="422"/>
        <v>1173.69</v>
      </c>
      <c r="N266" s="93">
        <v>3.3</v>
      </c>
      <c r="O266" s="93">
        <f t="shared" si="423"/>
        <v>1871.1</v>
      </c>
      <c r="P266" s="93">
        <f t="shared" si="424"/>
        <v>5.37</v>
      </c>
      <c r="Q266" s="112">
        <f t="shared" si="425"/>
        <v>3044.79</v>
      </c>
      <c r="R266" s="105"/>
      <c r="S266" s="105"/>
    </row>
    <row r="267" spans="1:19" s="28" customFormat="1">
      <c r="A267" s="55" t="str">
        <f>IF(F267&lt;&gt;"",1+MAX($A$2:A266),"")</f>
        <v/>
      </c>
      <c r="B267" s="75"/>
      <c r="C267" s="56"/>
      <c r="D267" s="51"/>
      <c r="E267" s="60"/>
      <c r="F267" s="59"/>
      <c r="G267" s="60"/>
      <c r="H267" s="58"/>
      <c r="I267" s="90"/>
      <c r="J267" s="91"/>
      <c r="K267" s="92"/>
      <c r="L267" s="93"/>
      <c r="M267" s="93"/>
      <c r="N267" s="93"/>
      <c r="O267" s="93"/>
      <c r="P267" s="93"/>
      <c r="Q267" s="111"/>
      <c r="R267" s="105"/>
      <c r="S267" s="105"/>
    </row>
    <row r="268" spans="1:19" s="29" customFormat="1">
      <c r="A268" s="55" t="str">
        <f>IF(F268&lt;&gt;"",1+MAX($A$2:A267),"")</f>
        <v/>
      </c>
      <c r="B268" s="71"/>
      <c r="C268" s="66"/>
      <c r="D268" s="67" t="s">
        <v>58</v>
      </c>
      <c r="E268" s="68"/>
      <c r="F268" s="68"/>
      <c r="G268" s="68"/>
      <c r="H268" s="68"/>
      <c r="I268" s="68"/>
      <c r="J268" s="130"/>
      <c r="K268" s="130"/>
      <c r="L268" s="131"/>
      <c r="M268" s="132"/>
      <c r="N268" s="131"/>
      <c r="O268" s="98"/>
      <c r="P268" s="98"/>
      <c r="Q268" s="106">
        <f>SUM(Q244:Q266)</f>
        <v>304109.34672874998</v>
      </c>
      <c r="R268" s="107"/>
    </row>
    <row r="269" spans="1:19" s="28" customFormat="1">
      <c r="A269" s="55" t="str">
        <f>IF(F269&lt;&gt;"",1+MAX($A$2:A268),"")</f>
        <v/>
      </c>
      <c r="B269" s="115"/>
      <c r="C269" s="115"/>
      <c r="D269" s="115"/>
      <c r="E269" s="116"/>
      <c r="F269" s="117"/>
      <c r="G269" s="116"/>
      <c r="H269" s="118"/>
      <c r="I269" s="133"/>
      <c r="J269" s="116"/>
      <c r="K269" s="134"/>
      <c r="L269" s="134"/>
      <c r="M269" s="134"/>
      <c r="N269" s="134"/>
      <c r="O269" s="134"/>
      <c r="P269" s="134"/>
      <c r="Q269" s="138"/>
      <c r="R269" s="105"/>
      <c r="S269" s="105"/>
    </row>
    <row r="270" spans="1:19" s="30" customFormat="1">
      <c r="A270" s="45" t="str">
        <f>IF(F270&lt;&gt;"",1+MAX($A$2:A269),"")</f>
        <v/>
      </c>
      <c r="B270" s="46"/>
      <c r="C270" s="47">
        <v>8</v>
      </c>
      <c r="D270" s="70" t="s">
        <v>254</v>
      </c>
      <c r="E270" s="46"/>
      <c r="F270" s="46"/>
      <c r="G270" s="46"/>
      <c r="H270" s="46"/>
      <c r="I270" s="46"/>
      <c r="J270" s="46"/>
      <c r="K270" s="46"/>
      <c r="L270" s="46"/>
      <c r="M270" s="46"/>
      <c r="N270" s="46"/>
      <c r="O270" s="46"/>
      <c r="P270" s="46"/>
      <c r="Q270" s="109"/>
      <c r="S270" s="110"/>
    </row>
    <row r="271" spans="1:19" s="28" customFormat="1">
      <c r="A271" s="55" t="str">
        <f>IF(F271&lt;&gt;"",1+MAX($A$2:A270),"")</f>
        <v/>
      </c>
      <c r="B271" s="71"/>
      <c r="C271" s="66"/>
      <c r="D271" s="143" t="s">
        <v>255</v>
      </c>
      <c r="E271" s="73"/>
      <c r="F271" s="74"/>
      <c r="G271" s="60"/>
      <c r="H271" s="60"/>
      <c r="I271" s="99"/>
      <c r="J271" s="60"/>
      <c r="K271" s="100"/>
      <c r="L271" s="100"/>
      <c r="M271" s="100"/>
      <c r="N271" s="100"/>
      <c r="O271" s="100"/>
      <c r="P271" s="100"/>
      <c r="Q271" s="111"/>
      <c r="R271" s="105"/>
      <c r="S271" s="105"/>
    </row>
    <row r="272" spans="1:19" s="28" customFormat="1">
      <c r="A272" s="55">
        <f>IF(F272&lt;&gt;"",1+MAX($A$2:A271),"")</f>
        <v>169</v>
      </c>
      <c r="B272" s="126"/>
      <c r="C272" s="56"/>
      <c r="D272" s="155" t="s">
        <v>256</v>
      </c>
      <c r="E272" s="159">
        <v>1</v>
      </c>
      <c r="F272" s="59">
        <v>0</v>
      </c>
      <c r="G272" s="64">
        <f t="shared" ref="G272:G300" si="426">(F272*E272)+E272</f>
        <v>1</v>
      </c>
      <c r="H272" s="60" t="s">
        <v>124</v>
      </c>
      <c r="I272" s="90">
        <f>0.2*14.34*10</f>
        <v>28.68</v>
      </c>
      <c r="J272" s="91">
        <f t="shared" ref="J272:J300" si="427">+I272*G272</f>
        <v>28.68</v>
      </c>
      <c r="K272" s="92">
        <f>'LABOR SHEET'!C$3</f>
        <v>36</v>
      </c>
      <c r="L272" s="93">
        <f t="shared" ref="L272:L300" si="428">I272*K272</f>
        <v>1032.48</v>
      </c>
      <c r="M272" s="93">
        <f t="shared" ref="M272:M300" si="429">K272*J272</f>
        <v>1032.48</v>
      </c>
      <c r="N272" s="93">
        <f>46*14.34*10</f>
        <v>6596.4</v>
      </c>
      <c r="O272" s="93">
        <f t="shared" ref="O272:O300" si="430">N272*G272</f>
        <v>6596.4</v>
      </c>
      <c r="P272" s="93">
        <f t="shared" ref="P272:P300" si="431">(I272*K272)+N272</f>
        <v>7628.88</v>
      </c>
      <c r="Q272" s="112">
        <f t="shared" ref="Q272:Q300" si="432">P272*G272</f>
        <v>7628.88</v>
      </c>
      <c r="R272" s="105"/>
      <c r="S272" s="105"/>
    </row>
    <row r="273" spans="1:19" s="28" customFormat="1">
      <c r="A273" s="55">
        <f>IF(F273&lt;&gt;"",1+MAX($A$2:A272),"")</f>
        <v>170</v>
      </c>
      <c r="B273" s="75"/>
      <c r="C273" s="56"/>
      <c r="D273" s="155" t="s">
        <v>257</v>
      </c>
      <c r="E273" s="159">
        <v>1</v>
      </c>
      <c r="F273" s="59">
        <v>0</v>
      </c>
      <c r="G273" s="64">
        <f t="shared" si="426"/>
        <v>1</v>
      </c>
      <c r="H273" s="60" t="s">
        <v>124</v>
      </c>
      <c r="I273" s="90">
        <f>0.2*14.34*8</f>
        <v>22.943999999999999</v>
      </c>
      <c r="J273" s="91">
        <f t="shared" si="427"/>
        <v>22.943999999999999</v>
      </c>
      <c r="K273" s="92">
        <f>'LABOR SHEET'!C$3</f>
        <v>36</v>
      </c>
      <c r="L273" s="93">
        <f t="shared" si="428"/>
        <v>825.98400000000004</v>
      </c>
      <c r="M273" s="93">
        <f t="shared" si="429"/>
        <v>825.98400000000004</v>
      </c>
      <c r="N273" s="93">
        <f>46*14.34*8</f>
        <v>5277.12</v>
      </c>
      <c r="O273" s="93">
        <f t="shared" si="430"/>
        <v>5277.12</v>
      </c>
      <c r="P273" s="93">
        <f t="shared" si="431"/>
        <v>6103.1040000000003</v>
      </c>
      <c r="Q273" s="112">
        <f t="shared" si="432"/>
        <v>6103.1040000000003</v>
      </c>
      <c r="R273" s="105"/>
      <c r="S273" s="105"/>
    </row>
    <row r="274" spans="1:19" s="28" customFormat="1">
      <c r="A274" s="55">
        <f>IF(F274&lt;&gt;"",1+MAX($A$2:A273),"")</f>
        <v>171</v>
      </c>
      <c r="B274" s="75"/>
      <c r="C274" s="56"/>
      <c r="D274" s="155" t="s">
        <v>258</v>
      </c>
      <c r="E274" s="159">
        <v>1</v>
      </c>
      <c r="F274" s="59">
        <v>0</v>
      </c>
      <c r="G274" s="64">
        <f t="shared" si="426"/>
        <v>1</v>
      </c>
      <c r="H274" s="60" t="s">
        <v>124</v>
      </c>
      <c r="I274" s="90">
        <f>0.2*7*10</f>
        <v>14</v>
      </c>
      <c r="J274" s="91">
        <f t="shared" si="427"/>
        <v>14</v>
      </c>
      <c r="K274" s="92">
        <f>'LABOR SHEET'!C$3</f>
        <v>36</v>
      </c>
      <c r="L274" s="93">
        <f t="shared" si="428"/>
        <v>504</v>
      </c>
      <c r="M274" s="93">
        <f t="shared" si="429"/>
        <v>504</v>
      </c>
      <c r="N274" s="93">
        <f>46*7*10</f>
        <v>3220</v>
      </c>
      <c r="O274" s="93">
        <f t="shared" si="430"/>
        <v>3220</v>
      </c>
      <c r="P274" s="93">
        <f t="shared" si="431"/>
        <v>3724</v>
      </c>
      <c r="Q274" s="112">
        <f t="shared" si="432"/>
        <v>3724</v>
      </c>
      <c r="R274" s="105"/>
      <c r="S274" s="105"/>
    </row>
    <row r="275" spans="1:19" s="28" customFormat="1">
      <c r="A275" s="55">
        <f>IF(F275&lt;&gt;"",1+MAX($A$2:A274),"")</f>
        <v>172</v>
      </c>
      <c r="B275" s="75"/>
      <c r="C275" s="56"/>
      <c r="D275" s="155" t="s">
        <v>259</v>
      </c>
      <c r="E275" s="159">
        <v>1</v>
      </c>
      <c r="F275" s="59">
        <v>0</v>
      </c>
      <c r="G275" s="64">
        <f t="shared" si="426"/>
        <v>1</v>
      </c>
      <c r="H275" s="60" t="s">
        <v>124</v>
      </c>
      <c r="I275" s="90">
        <f>0.2*6*8</f>
        <v>9.6</v>
      </c>
      <c r="J275" s="91">
        <f t="shared" si="427"/>
        <v>9.6</v>
      </c>
      <c r="K275" s="92">
        <f>'LABOR SHEET'!C$3</f>
        <v>36</v>
      </c>
      <c r="L275" s="93">
        <f t="shared" si="428"/>
        <v>345.6</v>
      </c>
      <c r="M275" s="93">
        <f t="shared" si="429"/>
        <v>345.6</v>
      </c>
      <c r="N275" s="93">
        <f>46*6*8</f>
        <v>2208</v>
      </c>
      <c r="O275" s="93">
        <f t="shared" si="430"/>
        <v>2208</v>
      </c>
      <c r="P275" s="93">
        <f t="shared" si="431"/>
        <v>2553.6</v>
      </c>
      <c r="Q275" s="112">
        <f t="shared" si="432"/>
        <v>2553.6</v>
      </c>
      <c r="R275" s="105"/>
      <c r="S275" s="105"/>
    </row>
    <row r="276" spans="1:19" s="28" customFormat="1">
      <c r="A276" s="55">
        <f>IF(F276&lt;&gt;"",1+MAX($A$2:A275),"")</f>
        <v>173</v>
      </c>
      <c r="B276" s="75"/>
      <c r="C276" s="56"/>
      <c r="D276" s="155" t="s">
        <v>260</v>
      </c>
      <c r="E276" s="159">
        <v>1</v>
      </c>
      <c r="F276" s="59">
        <v>0</v>
      </c>
      <c r="G276" s="64">
        <f t="shared" si="426"/>
        <v>1</v>
      </c>
      <c r="H276" s="60" t="s">
        <v>124</v>
      </c>
      <c r="I276" s="90">
        <f>0.2*6*8</f>
        <v>9.6</v>
      </c>
      <c r="J276" s="91">
        <f t="shared" si="427"/>
        <v>9.6</v>
      </c>
      <c r="K276" s="92">
        <f>'LABOR SHEET'!C$3</f>
        <v>36</v>
      </c>
      <c r="L276" s="93">
        <f t="shared" si="428"/>
        <v>345.6</v>
      </c>
      <c r="M276" s="93">
        <f t="shared" si="429"/>
        <v>345.6</v>
      </c>
      <c r="N276" s="93">
        <f>46*6*8</f>
        <v>2208</v>
      </c>
      <c r="O276" s="93">
        <f t="shared" si="430"/>
        <v>2208</v>
      </c>
      <c r="P276" s="93">
        <f t="shared" si="431"/>
        <v>2553.6</v>
      </c>
      <c r="Q276" s="112">
        <f t="shared" si="432"/>
        <v>2553.6</v>
      </c>
      <c r="R276" s="105"/>
      <c r="S276" s="105"/>
    </row>
    <row r="277" spans="1:19" s="28" customFormat="1">
      <c r="A277" s="55">
        <f>IF(F277&lt;&gt;"",1+MAX($A$2:A276),"")</f>
        <v>174</v>
      </c>
      <c r="B277" s="126"/>
      <c r="C277" s="56"/>
      <c r="D277" s="155" t="s">
        <v>261</v>
      </c>
      <c r="E277" s="159">
        <v>1</v>
      </c>
      <c r="F277" s="59">
        <v>0</v>
      </c>
      <c r="G277" s="64">
        <f t="shared" si="426"/>
        <v>1</v>
      </c>
      <c r="H277" s="60" t="s">
        <v>124</v>
      </c>
      <c r="I277" s="90">
        <f>0.2*3*8</f>
        <v>4.8</v>
      </c>
      <c r="J277" s="91">
        <f t="shared" si="427"/>
        <v>4.8</v>
      </c>
      <c r="K277" s="92">
        <f>'LABOR SHEET'!C$3</f>
        <v>36</v>
      </c>
      <c r="L277" s="93">
        <f t="shared" si="428"/>
        <v>172.8</v>
      </c>
      <c r="M277" s="93">
        <f t="shared" si="429"/>
        <v>172.8</v>
      </c>
      <c r="N277" s="93">
        <f>46*3*8</f>
        <v>1104</v>
      </c>
      <c r="O277" s="93">
        <f t="shared" si="430"/>
        <v>1104</v>
      </c>
      <c r="P277" s="93">
        <f t="shared" si="431"/>
        <v>1276.8</v>
      </c>
      <c r="Q277" s="112">
        <f t="shared" si="432"/>
        <v>1276.8</v>
      </c>
      <c r="R277" s="105"/>
      <c r="S277" s="105"/>
    </row>
    <row r="278" spans="1:19" s="28" customFormat="1">
      <c r="A278" s="55">
        <f>IF(F278&lt;&gt;"",1+MAX($A$2:A277),"")</f>
        <v>175</v>
      </c>
      <c r="B278" s="126"/>
      <c r="C278" s="56"/>
      <c r="D278" s="155" t="s">
        <v>262</v>
      </c>
      <c r="E278" s="159">
        <v>2</v>
      </c>
      <c r="F278" s="59">
        <v>0</v>
      </c>
      <c r="G278" s="64">
        <f t="shared" si="426"/>
        <v>2</v>
      </c>
      <c r="H278" s="60" t="s">
        <v>124</v>
      </c>
      <c r="I278" s="90">
        <f>0.2*3*8</f>
        <v>4.8</v>
      </c>
      <c r="J278" s="91">
        <f t="shared" si="427"/>
        <v>9.6</v>
      </c>
      <c r="K278" s="92">
        <f>'LABOR SHEET'!C$3</f>
        <v>36</v>
      </c>
      <c r="L278" s="93">
        <f t="shared" si="428"/>
        <v>172.8</v>
      </c>
      <c r="M278" s="93">
        <f t="shared" si="429"/>
        <v>345.6</v>
      </c>
      <c r="N278" s="93">
        <f>46*3*8</f>
        <v>1104</v>
      </c>
      <c r="O278" s="93">
        <f t="shared" si="430"/>
        <v>2208</v>
      </c>
      <c r="P278" s="93">
        <f t="shared" si="431"/>
        <v>1276.8</v>
      </c>
      <c r="Q278" s="112">
        <f t="shared" si="432"/>
        <v>2553.6</v>
      </c>
      <c r="R278" s="105"/>
      <c r="S278" s="105"/>
    </row>
    <row r="279" spans="1:19" s="28" customFormat="1">
      <c r="A279" s="55">
        <f>IF(F279&lt;&gt;"",1+MAX($A$2:A278),"")</f>
        <v>176</v>
      </c>
      <c r="B279" s="75"/>
      <c r="C279" s="56"/>
      <c r="D279" s="155" t="s">
        <v>263</v>
      </c>
      <c r="E279" s="159">
        <v>1</v>
      </c>
      <c r="F279" s="59">
        <v>0</v>
      </c>
      <c r="G279" s="64">
        <f t="shared" si="426"/>
        <v>1</v>
      </c>
      <c r="H279" s="60" t="s">
        <v>124</v>
      </c>
      <c r="I279" s="90">
        <f>0.2*3*8</f>
        <v>4.8</v>
      </c>
      <c r="J279" s="91">
        <f t="shared" si="427"/>
        <v>4.8</v>
      </c>
      <c r="K279" s="92">
        <f>'LABOR SHEET'!C$3</f>
        <v>36</v>
      </c>
      <c r="L279" s="93">
        <f t="shared" si="428"/>
        <v>172.8</v>
      </c>
      <c r="M279" s="93">
        <f t="shared" si="429"/>
        <v>172.8</v>
      </c>
      <c r="N279" s="93">
        <f>46*3*8</f>
        <v>1104</v>
      </c>
      <c r="O279" s="93">
        <f t="shared" si="430"/>
        <v>1104</v>
      </c>
      <c r="P279" s="93">
        <f t="shared" si="431"/>
        <v>1276.8</v>
      </c>
      <c r="Q279" s="112">
        <f t="shared" si="432"/>
        <v>1276.8</v>
      </c>
      <c r="R279" s="105"/>
      <c r="S279" s="105"/>
    </row>
    <row r="280" spans="1:19" s="28" customFormat="1">
      <c r="A280" s="55">
        <f>IF(F280&lt;&gt;"",1+MAX($A$2:A279),"")</f>
        <v>177</v>
      </c>
      <c r="B280" s="75"/>
      <c r="C280" s="56"/>
      <c r="D280" s="155" t="s">
        <v>264</v>
      </c>
      <c r="E280" s="159">
        <v>1</v>
      </c>
      <c r="F280" s="59">
        <v>0</v>
      </c>
      <c r="G280" s="64">
        <f t="shared" si="426"/>
        <v>1</v>
      </c>
      <c r="H280" s="60" t="s">
        <v>124</v>
      </c>
      <c r="I280" s="90">
        <f>0.2*2.67*8</f>
        <v>4.2720000000000002</v>
      </c>
      <c r="J280" s="91">
        <f t="shared" si="427"/>
        <v>4.2720000000000002</v>
      </c>
      <c r="K280" s="92">
        <f>'LABOR SHEET'!C$3</f>
        <v>36</v>
      </c>
      <c r="L280" s="93">
        <f t="shared" si="428"/>
        <v>153.792</v>
      </c>
      <c r="M280" s="93">
        <f t="shared" si="429"/>
        <v>153.792</v>
      </c>
      <c r="N280" s="93">
        <f>46*2.67*8</f>
        <v>982.56</v>
      </c>
      <c r="O280" s="93">
        <f t="shared" si="430"/>
        <v>982.56</v>
      </c>
      <c r="P280" s="93">
        <f t="shared" si="431"/>
        <v>1136.3520000000001</v>
      </c>
      <c r="Q280" s="112">
        <f t="shared" si="432"/>
        <v>1136.3520000000001</v>
      </c>
      <c r="R280" s="105"/>
      <c r="S280" s="105"/>
    </row>
    <row r="281" spans="1:19" s="28" customFormat="1" ht="31">
      <c r="A281" s="55">
        <f>IF(F281&lt;&gt;"",1+MAX($A$2:A280),"")</f>
        <v>178</v>
      </c>
      <c r="B281" s="75"/>
      <c r="C281" s="56"/>
      <c r="D281" s="155" t="s">
        <v>265</v>
      </c>
      <c r="E281" s="159">
        <v>4</v>
      </c>
      <c r="F281" s="59">
        <v>0</v>
      </c>
      <c r="G281" s="64">
        <f t="shared" si="426"/>
        <v>4</v>
      </c>
      <c r="H281" s="60" t="s">
        <v>124</v>
      </c>
      <c r="I281" s="90">
        <f>0.2*3*8+0.1*2*8</f>
        <v>6.4</v>
      </c>
      <c r="J281" s="91">
        <f t="shared" si="427"/>
        <v>25.6</v>
      </c>
      <c r="K281" s="92">
        <f>'LABOR SHEET'!C$3</f>
        <v>36</v>
      </c>
      <c r="L281" s="93">
        <f t="shared" si="428"/>
        <v>230.4</v>
      </c>
      <c r="M281" s="93">
        <f t="shared" si="429"/>
        <v>921.6</v>
      </c>
      <c r="N281" s="93">
        <f>46*3*8+0.1*2*8</f>
        <v>1105.5999999999999</v>
      </c>
      <c r="O281" s="93">
        <f t="shared" si="430"/>
        <v>4422.3999999999996</v>
      </c>
      <c r="P281" s="93">
        <f t="shared" si="431"/>
        <v>1336</v>
      </c>
      <c r="Q281" s="112">
        <f t="shared" si="432"/>
        <v>5344</v>
      </c>
      <c r="R281" s="105"/>
      <c r="S281" s="105"/>
    </row>
    <row r="282" spans="1:19" s="28" customFormat="1" ht="31">
      <c r="A282" s="55">
        <f>IF(F282&lt;&gt;"",1+MAX($A$2:A281),"")</f>
        <v>179</v>
      </c>
      <c r="B282" s="75"/>
      <c r="C282" s="56"/>
      <c r="D282" s="155" t="s">
        <v>266</v>
      </c>
      <c r="E282" s="159">
        <v>1</v>
      </c>
      <c r="F282" s="59">
        <v>0</v>
      </c>
      <c r="G282" s="64">
        <f t="shared" si="426"/>
        <v>1</v>
      </c>
      <c r="H282" s="60" t="s">
        <v>124</v>
      </c>
      <c r="I282" s="90">
        <f>0.2*2.5*8+0.1*2*8</f>
        <v>5.6</v>
      </c>
      <c r="J282" s="91">
        <f t="shared" si="427"/>
        <v>5.6</v>
      </c>
      <c r="K282" s="92">
        <f>'LABOR SHEET'!C$3</f>
        <v>36</v>
      </c>
      <c r="L282" s="93">
        <f t="shared" si="428"/>
        <v>201.6</v>
      </c>
      <c r="M282" s="93">
        <f t="shared" si="429"/>
        <v>201.6</v>
      </c>
      <c r="N282" s="93">
        <f>46*2.5*8+0.1*2*8</f>
        <v>921.6</v>
      </c>
      <c r="O282" s="93">
        <f t="shared" si="430"/>
        <v>921.6</v>
      </c>
      <c r="P282" s="93">
        <f t="shared" si="431"/>
        <v>1123.2</v>
      </c>
      <c r="Q282" s="112">
        <f t="shared" si="432"/>
        <v>1123.2</v>
      </c>
      <c r="R282" s="105"/>
      <c r="S282" s="105"/>
    </row>
    <row r="283" spans="1:19" s="28" customFormat="1">
      <c r="A283" s="55">
        <f>IF(F283&lt;&gt;"",1+MAX($A$2:A282),"")</f>
        <v>180</v>
      </c>
      <c r="B283" s="75"/>
      <c r="C283" s="56"/>
      <c r="D283" s="155" t="s">
        <v>267</v>
      </c>
      <c r="E283" s="159">
        <v>1</v>
      </c>
      <c r="F283" s="59">
        <v>0</v>
      </c>
      <c r="G283" s="64">
        <f t="shared" si="426"/>
        <v>1</v>
      </c>
      <c r="H283" s="60" t="s">
        <v>124</v>
      </c>
      <c r="I283" s="90">
        <f>0.2*2.6*6.67</f>
        <v>3.4683999999999999</v>
      </c>
      <c r="J283" s="91">
        <f t="shared" si="427"/>
        <v>3.4683999999999999</v>
      </c>
      <c r="K283" s="92">
        <f>'LABOR SHEET'!C$3</f>
        <v>36</v>
      </c>
      <c r="L283" s="93">
        <f t="shared" si="428"/>
        <v>124.86239999999999</v>
      </c>
      <c r="M283" s="93">
        <f t="shared" si="429"/>
        <v>124.86239999999999</v>
      </c>
      <c r="N283" s="93">
        <f>46*2.6*6.67</f>
        <v>797.73199999999997</v>
      </c>
      <c r="O283" s="93">
        <f t="shared" si="430"/>
        <v>797.73199999999997</v>
      </c>
      <c r="P283" s="93">
        <f t="shared" si="431"/>
        <v>922.59439999999995</v>
      </c>
      <c r="Q283" s="112">
        <f t="shared" si="432"/>
        <v>922.59439999999995</v>
      </c>
      <c r="R283" s="105"/>
      <c r="S283" s="105"/>
    </row>
    <row r="284" spans="1:19" s="28" customFormat="1">
      <c r="A284" s="55">
        <f>IF(F284&lt;&gt;"",1+MAX($A$2:A283),"")</f>
        <v>181</v>
      </c>
      <c r="B284" s="75"/>
      <c r="C284" s="56"/>
      <c r="D284" s="155" t="s">
        <v>268</v>
      </c>
      <c r="E284" s="159">
        <v>1</v>
      </c>
      <c r="F284" s="59">
        <v>0</v>
      </c>
      <c r="G284" s="64">
        <f t="shared" si="426"/>
        <v>1</v>
      </c>
      <c r="H284" s="60" t="s">
        <v>124</v>
      </c>
      <c r="I284" s="90">
        <f>0.2*12*10</f>
        <v>24</v>
      </c>
      <c r="J284" s="91">
        <f t="shared" si="427"/>
        <v>24</v>
      </c>
      <c r="K284" s="92">
        <f>'LABOR SHEET'!C$3</f>
        <v>36</v>
      </c>
      <c r="L284" s="93">
        <f t="shared" si="428"/>
        <v>864</v>
      </c>
      <c r="M284" s="93">
        <f t="shared" si="429"/>
        <v>864</v>
      </c>
      <c r="N284" s="93">
        <f>46*12*10</f>
        <v>5520</v>
      </c>
      <c r="O284" s="93">
        <f t="shared" si="430"/>
        <v>5520</v>
      </c>
      <c r="P284" s="93">
        <f t="shared" si="431"/>
        <v>6384</v>
      </c>
      <c r="Q284" s="112">
        <f t="shared" si="432"/>
        <v>6384</v>
      </c>
      <c r="R284" s="105"/>
      <c r="S284" s="105"/>
    </row>
    <row r="285" spans="1:19" s="28" customFormat="1">
      <c r="A285" s="55">
        <f>IF(F285&lt;&gt;"",1+MAX($A$2:A284),"")</f>
        <v>182</v>
      </c>
      <c r="B285" s="126"/>
      <c r="C285" s="56"/>
      <c r="D285" s="155" t="s">
        <v>269</v>
      </c>
      <c r="E285" s="159">
        <v>1</v>
      </c>
      <c r="F285" s="59">
        <v>0</v>
      </c>
      <c r="G285" s="64">
        <f t="shared" si="426"/>
        <v>1</v>
      </c>
      <c r="H285" s="60" t="s">
        <v>124</v>
      </c>
      <c r="I285" s="90">
        <f>0.2*5*6.67</f>
        <v>6.67</v>
      </c>
      <c r="J285" s="91">
        <f t="shared" si="427"/>
        <v>6.67</v>
      </c>
      <c r="K285" s="92">
        <f>'LABOR SHEET'!C$3</f>
        <v>36</v>
      </c>
      <c r="L285" s="93">
        <f t="shared" si="428"/>
        <v>240.12</v>
      </c>
      <c r="M285" s="93">
        <f t="shared" si="429"/>
        <v>240.12</v>
      </c>
      <c r="N285" s="93">
        <f>46*5*6.67</f>
        <v>1534.1</v>
      </c>
      <c r="O285" s="93">
        <f t="shared" si="430"/>
        <v>1534.1</v>
      </c>
      <c r="P285" s="93">
        <f t="shared" si="431"/>
        <v>1774.22</v>
      </c>
      <c r="Q285" s="112">
        <f t="shared" si="432"/>
        <v>1774.22</v>
      </c>
      <c r="R285" s="105"/>
      <c r="S285" s="105"/>
    </row>
    <row r="286" spans="1:19" s="28" customFormat="1">
      <c r="A286" s="55">
        <f>IF(F286&lt;&gt;"",1+MAX($A$2:A285),"")</f>
        <v>183</v>
      </c>
      <c r="B286" s="126"/>
      <c r="C286" s="56"/>
      <c r="D286" s="155" t="s">
        <v>270</v>
      </c>
      <c r="E286" s="159">
        <v>2</v>
      </c>
      <c r="F286" s="59">
        <v>0</v>
      </c>
      <c r="G286" s="64">
        <f t="shared" si="426"/>
        <v>2</v>
      </c>
      <c r="H286" s="60" t="s">
        <v>124</v>
      </c>
      <c r="I286" s="90">
        <f>0.2*4*6.67</f>
        <v>5.3360000000000003</v>
      </c>
      <c r="J286" s="91">
        <f t="shared" si="427"/>
        <v>10.672000000000001</v>
      </c>
      <c r="K286" s="92">
        <f>'LABOR SHEET'!C$3</f>
        <v>36</v>
      </c>
      <c r="L286" s="93">
        <f t="shared" si="428"/>
        <v>192.096</v>
      </c>
      <c r="M286" s="93">
        <f t="shared" si="429"/>
        <v>384.19200000000001</v>
      </c>
      <c r="N286" s="93">
        <f>46*4*6.67</f>
        <v>1227.28</v>
      </c>
      <c r="O286" s="93">
        <f t="shared" si="430"/>
        <v>2454.56</v>
      </c>
      <c r="P286" s="93">
        <f t="shared" si="431"/>
        <v>1419.376</v>
      </c>
      <c r="Q286" s="112">
        <f t="shared" si="432"/>
        <v>2838.752</v>
      </c>
      <c r="R286" s="105"/>
      <c r="S286" s="105"/>
    </row>
    <row r="287" spans="1:19" s="28" customFormat="1">
      <c r="A287" s="55">
        <f>IF(F287&lt;&gt;"",1+MAX($A$2:A286),"")</f>
        <v>184</v>
      </c>
      <c r="B287" s="75"/>
      <c r="C287" s="56"/>
      <c r="D287" s="155" t="s">
        <v>271</v>
      </c>
      <c r="E287" s="159">
        <v>1</v>
      </c>
      <c r="F287" s="59">
        <v>0</v>
      </c>
      <c r="G287" s="64">
        <f t="shared" si="426"/>
        <v>1</v>
      </c>
      <c r="H287" s="60" t="s">
        <v>124</v>
      </c>
      <c r="I287" s="90">
        <f>0.2*3*6.67</f>
        <v>4.0019999999999998</v>
      </c>
      <c r="J287" s="91">
        <f t="shared" si="427"/>
        <v>4.0019999999999998</v>
      </c>
      <c r="K287" s="92">
        <f>'LABOR SHEET'!C$3</f>
        <v>36</v>
      </c>
      <c r="L287" s="93">
        <f t="shared" si="428"/>
        <v>144.072</v>
      </c>
      <c r="M287" s="93">
        <f t="shared" si="429"/>
        <v>144.072</v>
      </c>
      <c r="N287" s="93">
        <f>46*3*6.67</f>
        <v>920.46</v>
      </c>
      <c r="O287" s="93">
        <f t="shared" si="430"/>
        <v>920.46</v>
      </c>
      <c r="P287" s="93">
        <f t="shared" si="431"/>
        <v>1064.5319999999999</v>
      </c>
      <c r="Q287" s="112">
        <f t="shared" si="432"/>
        <v>1064.5319999999999</v>
      </c>
      <c r="R287" s="105"/>
      <c r="S287" s="105"/>
    </row>
    <row r="288" spans="1:19" s="28" customFormat="1">
      <c r="A288" s="55">
        <f>IF(F288&lt;&gt;"",1+MAX($A$2:A287),"")</f>
        <v>185</v>
      </c>
      <c r="B288" s="75"/>
      <c r="C288" s="56"/>
      <c r="D288" s="155" t="s">
        <v>272</v>
      </c>
      <c r="E288" s="159">
        <v>5</v>
      </c>
      <c r="F288" s="59">
        <v>0</v>
      </c>
      <c r="G288" s="64">
        <f t="shared" si="426"/>
        <v>5</v>
      </c>
      <c r="H288" s="60" t="s">
        <v>124</v>
      </c>
      <c r="I288" s="90">
        <f>0.2*3*6.67</f>
        <v>4.0019999999999998</v>
      </c>
      <c r="J288" s="91">
        <f t="shared" si="427"/>
        <v>20.010000000000002</v>
      </c>
      <c r="K288" s="92">
        <f>'LABOR SHEET'!C$3</f>
        <v>36</v>
      </c>
      <c r="L288" s="93">
        <f t="shared" si="428"/>
        <v>144.072</v>
      </c>
      <c r="M288" s="93">
        <f t="shared" si="429"/>
        <v>720.36</v>
      </c>
      <c r="N288" s="93">
        <f>46*3*6.67</f>
        <v>920.46</v>
      </c>
      <c r="O288" s="93">
        <f t="shared" si="430"/>
        <v>4602.3</v>
      </c>
      <c r="P288" s="93">
        <f t="shared" si="431"/>
        <v>1064.5319999999999</v>
      </c>
      <c r="Q288" s="112">
        <f t="shared" si="432"/>
        <v>5322.66</v>
      </c>
      <c r="R288" s="105"/>
      <c r="S288" s="105"/>
    </row>
    <row r="289" spans="1:19" s="28" customFormat="1">
      <c r="A289" s="55">
        <f>IF(F289&lt;&gt;"",1+MAX($A$2:A288),"")</f>
        <v>186</v>
      </c>
      <c r="B289" s="75"/>
      <c r="C289" s="56"/>
      <c r="D289" s="155" t="s">
        <v>273</v>
      </c>
      <c r="E289" s="159">
        <v>7</v>
      </c>
      <c r="F289" s="59">
        <v>0</v>
      </c>
      <c r="G289" s="64">
        <f t="shared" si="426"/>
        <v>7</v>
      </c>
      <c r="H289" s="60" t="s">
        <v>124</v>
      </c>
      <c r="I289" s="90">
        <f>0.2*2.67*6.67</f>
        <v>3.5617800000000002</v>
      </c>
      <c r="J289" s="91">
        <f t="shared" si="427"/>
        <v>24.932459999999999</v>
      </c>
      <c r="K289" s="92">
        <f>'LABOR SHEET'!C$3</f>
        <v>36</v>
      </c>
      <c r="L289" s="93">
        <f t="shared" si="428"/>
        <v>128.22407999999999</v>
      </c>
      <c r="M289" s="93">
        <f t="shared" si="429"/>
        <v>897.56856000000005</v>
      </c>
      <c r="N289" s="93">
        <f>46*2.67*6.67</f>
        <v>819.20939999999996</v>
      </c>
      <c r="O289" s="93">
        <f t="shared" si="430"/>
        <v>5734.4657999999999</v>
      </c>
      <c r="P289" s="93">
        <f t="shared" si="431"/>
        <v>947.43348000000003</v>
      </c>
      <c r="Q289" s="112">
        <f t="shared" si="432"/>
        <v>6632.0343599999997</v>
      </c>
      <c r="R289" s="105"/>
      <c r="S289" s="105"/>
    </row>
    <row r="290" spans="1:19" s="28" customFormat="1">
      <c r="A290" s="55">
        <f>IF(F290&lt;&gt;"",1+MAX($A$2:A289),"")</f>
        <v>187</v>
      </c>
      <c r="B290" s="75"/>
      <c r="C290" s="56"/>
      <c r="D290" s="155" t="s">
        <v>274</v>
      </c>
      <c r="E290" s="159">
        <v>10</v>
      </c>
      <c r="F290" s="59">
        <v>0</v>
      </c>
      <c r="G290" s="64">
        <f t="shared" si="426"/>
        <v>10</v>
      </c>
      <c r="H290" s="60" t="s">
        <v>124</v>
      </c>
      <c r="I290" s="90">
        <f>0.2*2.5*6.67</f>
        <v>3.335</v>
      </c>
      <c r="J290" s="91">
        <f t="shared" si="427"/>
        <v>33.35</v>
      </c>
      <c r="K290" s="92">
        <f>'LABOR SHEET'!C$3</f>
        <v>36</v>
      </c>
      <c r="L290" s="93">
        <f t="shared" si="428"/>
        <v>120.06</v>
      </c>
      <c r="M290" s="93">
        <f t="shared" si="429"/>
        <v>1200.5999999999999</v>
      </c>
      <c r="N290" s="93">
        <f>46*2.5*6.67</f>
        <v>767.05</v>
      </c>
      <c r="O290" s="93">
        <f t="shared" si="430"/>
        <v>7670.5</v>
      </c>
      <c r="P290" s="93">
        <f t="shared" si="431"/>
        <v>887.11</v>
      </c>
      <c r="Q290" s="112">
        <f t="shared" si="432"/>
        <v>8871.1</v>
      </c>
      <c r="R290" s="105"/>
      <c r="S290" s="105"/>
    </row>
    <row r="291" spans="1:19" s="28" customFormat="1">
      <c r="A291" s="55">
        <f>IF(F291&lt;&gt;"",1+MAX($A$2:A290),"")</f>
        <v>188</v>
      </c>
      <c r="B291" s="75"/>
      <c r="C291" s="56"/>
      <c r="D291" s="155" t="s">
        <v>275</v>
      </c>
      <c r="E291" s="159">
        <v>6</v>
      </c>
      <c r="F291" s="59">
        <v>0</v>
      </c>
      <c r="G291" s="64">
        <f t="shared" si="426"/>
        <v>6</v>
      </c>
      <c r="H291" s="60" t="s">
        <v>124</v>
      </c>
      <c r="I291" s="90">
        <f>0.2*2.34*6.67</f>
        <v>3.1215600000000001</v>
      </c>
      <c r="J291" s="91">
        <f t="shared" si="427"/>
        <v>18.72936</v>
      </c>
      <c r="K291" s="92">
        <f>'LABOR SHEET'!C$3</f>
        <v>36</v>
      </c>
      <c r="L291" s="93">
        <f t="shared" si="428"/>
        <v>112.37616</v>
      </c>
      <c r="M291" s="93">
        <f t="shared" si="429"/>
        <v>674.25696000000005</v>
      </c>
      <c r="N291" s="93">
        <f>46*2.34*6.67</f>
        <v>717.9588</v>
      </c>
      <c r="O291" s="93">
        <f t="shared" si="430"/>
        <v>4307.7528000000002</v>
      </c>
      <c r="P291" s="93">
        <f t="shared" si="431"/>
        <v>830.33496000000002</v>
      </c>
      <c r="Q291" s="112">
        <f t="shared" si="432"/>
        <v>4982.0097599999999</v>
      </c>
      <c r="R291" s="105"/>
      <c r="S291" s="105"/>
    </row>
    <row r="292" spans="1:19" s="28" customFormat="1">
      <c r="A292" s="55">
        <f>IF(F292&lt;&gt;"",1+MAX($A$2:A291),"")</f>
        <v>189</v>
      </c>
      <c r="B292" s="75"/>
      <c r="C292" s="56"/>
      <c r="D292" s="155" t="s">
        <v>276</v>
      </c>
      <c r="E292" s="159">
        <v>2</v>
      </c>
      <c r="F292" s="59">
        <v>0</v>
      </c>
      <c r="G292" s="64">
        <f t="shared" si="426"/>
        <v>2</v>
      </c>
      <c r="H292" s="60" t="s">
        <v>124</v>
      </c>
      <c r="I292" s="90">
        <f>0.2*2*6.67</f>
        <v>2.6680000000000001</v>
      </c>
      <c r="J292" s="91">
        <f t="shared" si="427"/>
        <v>5.3360000000000003</v>
      </c>
      <c r="K292" s="92">
        <f>'LABOR SHEET'!C$3</f>
        <v>36</v>
      </c>
      <c r="L292" s="93">
        <f t="shared" si="428"/>
        <v>96.048000000000002</v>
      </c>
      <c r="M292" s="93">
        <f t="shared" si="429"/>
        <v>192.096</v>
      </c>
      <c r="N292" s="93">
        <f>46*2*6.67</f>
        <v>613.64</v>
      </c>
      <c r="O292" s="93">
        <f t="shared" si="430"/>
        <v>1227.28</v>
      </c>
      <c r="P292" s="93">
        <f t="shared" si="431"/>
        <v>709.68799999999999</v>
      </c>
      <c r="Q292" s="112">
        <f t="shared" si="432"/>
        <v>1419.376</v>
      </c>
      <c r="R292" s="105"/>
      <c r="S292" s="105"/>
    </row>
    <row r="293" spans="1:19" s="28" customFormat="1">
      <c r="A293" s="55">
        <f>IF(F293&lt;&gt;"",1+MAX($A$2:A292),"")</f>
        <v>190</v>
      </c>
      <c r="B293" s="75"/>
      <c r="C293" s="56"/>
      <c r="D293" s="155" t="s">
        <v>277</v>
      </c>
      <c r="E293" s="159">
        <v>1</v>
      </c>
      <c r="F293" s="59">
        <v>0</v>
      </c>
      <c r="G293" s="64">
        <f t="shared" si="426"/>
        <v>1</v>
      </c>
      <c r="H293" s="60" t="s">
        <v>124</v>
      </c>
      <c r="I293" s="90">
        <f>0.2*3*6.67</f>
        <v>4.0019999999999998</v>
      </c>
      <c r="J293" s="91">
        <f t="shared" si="427"/>
        <v>4.0019999999999998</v>
      </c>
      <c r="K293" s="92">
        <f>'LABOR SHEET'!C$3</f>
        <v>36</v>
      </c>
      <c r="L293" s="93">
        <f t="shared" si="428"/>
        <v>144.072</v>
      </c>
      <c r="M293" s="93">
        <f t="shared" si="429"/>
        <v>144.072</v>
      </c>
      <c r="N293" s="93">
        <f>46*3*6.67</f>
        <v>920.46</v>
      </c>
      <c r="O293" s="93">
        <f t="shared" si="430"/>
        <v>920.46</v>
      </c>
      <c r="P293" s="93">
        <f t="shared" si="431"/>
        <v>1064.5319999999999</v>
      </c>
      <c r="Q293" s="112">
        <f t="shared" si="432"/>
        <v>1064.5319999999999</v>
      </c>
      <c r="R293" s="105"/>
      <c r="S293" s="105"/>
    </row>
    <row r="294" spans="1:19" s="28" customFormat="1">
      <c r="A294" s="55">
        <f>IF(F294&lt;&gt;"",1+MAX($A$2:A293),"")</f>
        <v>191</v>
      </c>
      <c r="B294" s="75"/>
      <c r="C294" s="56"/>
      <c r="D294" s="155" t="s">
        <v>278</v>
      </c>
      <c r="E294" s="159">
        <v>1</v>
      </c>
      <c r="F294" s="59">
        <v>0</v>
      </c>
      <c r="G294" s="64">
        <f t="shared" si="426"/>
        <v>1</v>
      </c>
      <c r="H294" s="60" t="s">
        <v>124</v>
      </c>
      <c r="I294" s="90">
        <f>0.2*2.5*6.67</f>
        <v>3.335</v>
      </c>
      <c r="J294" s="91">
        <f t="shared" si="427"/>
        <v>3.335</v>
      </c>
      <c r="K294" s="92">
        <f>'LABOR SHEET'!C$3</f>
        <v>36</v>
      </c>
      <c r="L294" s="93">
        <f t="shared" si="428"/>
        <v>120.06</v>
      </c>
      <c r="M294" s="93">
        <f t="shared" si="429"/>
        <v>120.06</v>
      </c>
      <c r="N294" s="93">
        <f>46*2.5*6.67</f>
        <v>767.05</v>
      </c>
      <c r="O294" s="93">
        <f t="shared" si="430"/>
        <v>767.05</v>
      </c>
      <c r="P294" s="93">
        <f t="shared" si="431"/>
        <v>887.11</v>
      </c>
      <c r="Q294" s="112">
        <f t="shared" si="432"/>
        <v>887.11</v>
      </c>
      <c r="R294" s="105"/>
      <c r="S294" s="105"/>
    </row>
    <row r="295" spans="1:19" s="28" customFormat="1">
      <c r="A295" s="55">
        <f>IF(F295&lt;&gt;"",1+MAX($A$2:A294),"")</f>
        <v>192</v>
      </c>
      <c r="B295" s="75"/>
      <c r="C295" s="56"/>
      <c r="D295" s="155" t="s">
        <v>279</v>
      </c>
      <c r="E295" s="159">
        <v>8</v>
      </c>
      <c r="F295" s="59">
        <v>0</v>
      </c>
      <c r="G295" s="64">
        <f t="shared" si="426"/>
        <v>8</v>
      </c>
      <c r="H295" s="60" t="s">
        <v>124</v>
      </c>
      <c r="I295" s="90">
        <f>0.2*2.67*6.67</f>
        <v>3.5617800000000002</v>
      </c>
      <c r="J295" s="91">
        <f t="shared" si="427"/>
        <v>28.494240000000001</v>
      </c>
      <c r="K295" s="92">
        <f>'LABOR SHEET'!C$3</f>
        <v>36</v>
      </c>
      <c r="L295" s="93">
        <f t="shared" si="428"/>
        <v>128.22407999999999</v>
      </c>
      <c r="M295" s="93">
        <f t="shared" si="429"/>
        <v>1025.7926399999999</v>
      </c>
      <c r="N295" s="93">
        <f>46*2.67*6.67</f>
        <v>819.20939999999996</v>
      </c>
      <c r="O295" s="93">
        <f t="shared" si="430"/>
        <v>6553.6751999999997</v>
      </c>
      <c r="P295" s="93">
        <f t="shared" si="431"/>
        <v>947.43348000000003</v>
      </c>
      <c r="Q295" s="112">
        <f t="shared" si="432"/>
        <v>7579.4678400000003</v>
      </c>
      <c r="R295" s="105"/>
      <c r="S295" s="105"/>
    </row>
    <row r="296" spans="1:19" s="28" customFormat="1">
      <c r="A296" s="55">
        <f>IF(F296&lt;&gt;"",1+MAX($A$2:A295),"")</f>
        <v>193</v>
      </c>
      <c r="B296" s="75"/>
      <c r="C296" s="56"/>
      <c r="D296" s="155" t="s">
        <v>280</v>
      </c>
      <c r="E296" s="159">
        <v>1</v>
      </c>
      <c r="F296" s="59">
        <v>0</v>
      </c>
      <c r="G296" s="64">
        <f t="shared" si="426"/>
        <v>1</v>
      </c>
      <c r="H296" s="60" t="s">
        <v>124</v>
      </c>
      <c r="I296" s="90">
        <f>0.2*4*6.67</f>
        <v>5.3360000000000003</v>
      </c>
      <c r="J296" s="91">
        <f t="shared" si="427"/>
        <v>5.3360000000000003</v>
      </c>
      <c r="K296" s="92">
        <f>'LABOR SHEET'!C$3</f>
        <v>36</v>
      </c>
      <c r="L296" s="93">
        <f t="shared" si="428"/>
        <v>192.096</v>
      </c>
      <c r="M296" s="93">
        <f t="shared" si="429"/>
        <v>192.096</v>
      </c>
      <c r="N296" s="93">
        <f>46*4*6.67</f>
        <v>1227.28</v>
      </c>
      <c r="O296" s="93">
        <f t="shared" si="430"/>
        <v>1227.28</v>
      </c>
      <c r="P296" s="93">
        <f t="shared" si="431"/>
        <v>1419.376</v>
      </c>
      <c r="Q296" s="112">
        <f t="shared" si="432"/>
        <v>1419.376</v>
      </c>
      <c r="R296" s="105"/>
      <c r="S296" s="105"/>
    </row>
    <row r="297" spans="1:19" s="28" customFormat="1">
      <c r="A297" s="55">
        <f>IF(F297&lt;&gt;"",1+MAX($A$2:A296),"")</f>
        <v>194</v>
      </c>
      <c r="B297" s="75"/>
      <c r="C297" s="56"/>
      <c r="D297" s="155" t="s">
        <v>281</v>
      </c>
      <c r="E297" s="159">
        <v>1</v>
      </c>
      <c r="F297" s="59">
        <v>0</v>
      </c>
      <c r="G297" s="64">
        <f t="shared" si="426"/>
        <v>1</v>
      </c>
      <c r="H297" s="60" t="s">
        <v>124</v>
      </c>
      <c r="I297" s="90">
        <f>0.2*4*6.67</f>
        <v>5.3360000000000003</v>
      </c>
      <c r="J297" s="91">
        <f t="shared" si="427"/>
        <v>5.3360000000000003</v>
      </c>
      <c r="K297" s="92">
        <f>'LABOR SHEET'!C$3</f>
        <v>36</v>
      </c>
      <c r="L297" s="93">
        <f t="shared" si="428"/>
        <v>192.096</v>
      </c>
      <c r="M297" s="93">
        <f t="shared" si="429"/>
        <v>192.096</v>
      </c>
      <c r="N297" s="93">
        <f>46*4*6.67</f>
        <v>1227.28</v>
      </c>
      <c r="O297" s="93">
        <f t="shared" si="430"/>
        <v>1227.28</v>
      </c>
      <c r="P297" s="93">
        <f t="shared" si="431"/>
        <v>1419.376</v>
      </c>
      <c r="Q297" s="112">
        <f t="shared" si="432"/>
        <v>1419.376</v>
      </c>
      <c r="R297" s="105"/>
      <c r="S297" s="105"/>
    </row>
    <row r="298" spans="1:19" s="28" customFormat="1">
      <c r="A298" s="55">
        <f>IF(F298&lt;&gt;"",1+MAX($A$2:A297),"")</f>
        <v>195</v>
      </c>
      <c r="B298" s="75"/>
      <c r="C298" s="56"/>
      <c r="D298" s="155" t="s">
        <v>282</v>
      </c>
      <c r="E298" s="159">
        <v>4</v>
      </c>
      <c r="F298" s="59">
        <v>0</v>
      </c>
      <c r="G298" s="64">
        <f t="shared" si="426"/>
        <v>4</v>
      </c>
      <c r="H298" s="60" t="s">
        <v>124</v>
      </c>
      <c r="I298" s="90">
        <f>0.2*2.5*6.67</f>
        <v>3.335</v>
      </c>
      <c r="J298" s="91">
        <f t="shared" si="427"/>
        <v>13.34</v>
      </c>
      <c r="K298" s="92">
        <f>'LABOR SHEET'!C$3</f>
        <v>36</v>
      </c>
      <c r="L298" s="93">
        <f t="shared" si="428"/>
        <v>120.06</v>
      </c>
      <c r="M298" s="93">
        <f t="shared" si="429"/>
        <v>480.24</v>
      </c>
      <c r="N298" s="93">
        <f>46*2.5*6.67</f>
        <v>767.05</v>
      </c>
      <c r="O298" s="93">
        <f t="shared" si="430"/>
        <v>3068.2</v>
      </c>
      <c r="P298" s="93">
        <f t="shared" si="431"/>
        <v>887.11</v>
      </c>
      <c r="Q298" s="112">
        <f t="shared" si="432"/>
        <v>3548.44</v>
      </c>
      <c r="R298" s="105"/>
      <c r="S298" s="105"/>
    </row>
    <row r="299" spans="1:19" s="28" customFormat="1">
      <c r="A299" s="55">
        <f>IF(F299&lt;&gt;"",1+MAX($A$2:A298),"")</f>
        <v>196</v>
      </c>
      <c r="B299" s="75"/>
      <c r="C299" s="56"/>
      <c r="D299" s="155" t="s">
        <v>283</v>
      </c>
      <c r="E299" s="159">
        <v>2</v>
      </c>
      <c r="F299" s="59">
        <v>0</v>
      </c>
      <c r="G299" s="64">
        <f t="shared" si="426"/>
        <v>2</v>
      </c>
      <c r="H299" s="60" t="s">
        <v>124</v>
      </c>
      <c r="I299" s="90">
        <f>0.2*2.34*6.67</f>
        <v>3.1215600000000001</v>
      </c>
      <c r="J299" s="91">
        <f t="shared" si="427"/>
        <v>6.2431200000000002</v>
      </c>
      <c r="K299" s="92">
        <f>'LABOR SHEET'!C$3</f>
        <v>36</v>
      </c>
      <c r="L299" s="93">
        <f t="shared" si="428"/>
        <v>112.37616</v>
      </c>
      <c r="M299" s="93">
        <f t="shared" si="429"/>
        <v>224.75232</v>
      </c>
      <c r="N299" s="93">
        <f>46*2.34*6.67</f>
        <v>717.9588</v>
      </c>
      <c r="O299" s="93">
        <f t="shared" si="430"/>
        <v>1435.9176</v>
      </c>
      <c r="P299" s="93">
        <f t="shared" si="431"/>
        <v>830.33496000000002</v>
      </c>
      <c r="Q299" s="112">
        <f t="shared" si="432"/>
        <v>1660.66992</v>
      </c>
      <c r="R299" s="105"/>
      <c r="S299" s="105"/>
    </row>
    <row r="300" spans="1:19" s="28" customFormat="1">
      <c r="A300" s="55">
        <f>IF(F300&lt;&gt;"",1+MAX($A$2:A299),"")</f>
        <v>197</v>
      </c>
      <c r="B300" s="75"/>
      <c r="C300" s="56"/>
      <c r="D300" s="155" t="s">
        <v>284</v>
      </c>
      <c r="E300" s="159">
        <v>6</v>
      </c>
      <c r="F300" s="59">
        <v>0</v>
      </c>
      <c r="G300" s="64">
        <f t="shared" si="426"/>
        <v>6</v>
      </c>
      <c r="H300" s="60" t="s">
        <v>124</v>
      </c>
      <c r="I300" s="90">
        <f>0.12*12*10</f>
        <v>14.4</v>
      </c>
      <c r="J300" s="91">
        <f t="shared" si="427"/>
        <v>86.4</v>
      </c>
      <c r="K300" s="92">
        <f>'LABOR SHEET'!C$3</f>
        <v>36</v>
      </c>
      <c r="L300" s="93">
        <f t="shared" si="428"/>
        <v>518.4</v>
      </c>
      <c r="M300" s="93">
        <f t="shared" si="429"/>
        <v>3110.4</v>
      </c>
      <c r="N300" s="93">
        <f>22*12*10</f>
        <v>2640</v>
      </c>
      <c r="O300" s="93">
        <f t="shared" si="430"/>
        <v>15840</v>
      </c>
      <c r="P300" s="93">
        <f t="shared" si="431"/>
        <v>3158.4</v>
      </c>
      <c r="Q300" s="112">
        <f t="shared" si="432"/>
        <v>18950.400000000001</v>
      </c>
      <c r="R300" s="105"/>
      <c r="S300" s="105"/>
    </row>
    <row r="301" spans="1:19" s="28" customFormat="1">
      <c r="A301" s="55"/>
      <c r="B301" s="75"/>
      <c r="C301" s="157"/>
      <c r="D301" s="170"/>
      <c r="E301" s="161"/>
      <c r="F301" s="59"/>
      <c r="G301" s="64"/>
      <c r="H301" s="60"/>
      <c r="I301" s="90"/>
      <c r="J301" s="91"/>
      <c r="K301" s="92"/>
      <c r="L301" s="93"/>
      <c r="M301" s="93"/>
      <c r="N301" s="93"/>
      <c r="O301" s="93"/>
      <c r="P301" s="93"/>
      <c r="Q301" s="112"/>
      <c r="R301" s="105"/>
      <c r="S301" s="105"/>
    </row>
    <row r="302" spans="1:19" s="28" customFormat="1">
      <c r="A302" s="55" t="str">
        <f>IF(F302&lt;&gt;"",1+MAX($A$2:A300),"")</f>
        <v/>
      </c>
      <c r="B302" s="75"/>
      <c r="C302" s="157"/>
      <c r="D302" s="143" t="s">
        <v>285</v>
      </c>
      <c r="E302" s="84"/>
      <c r="F302" s="59"/>
      <c r="G302" s="60"/>
      <c r="H302" s="60"/>
      <c r="I302" s="90"/>
      <c r="J302" s="91"/>
      <c r="K302" s="92"/>
      <c r="L302" s="93"/>
      <c r="M302" s="93"/>
      <c r="N302" s="93"/>
      <c r="O302" s="93"/>
      <c r="P302" s="93"/>
      <c r="Q302" s="111"/>
      <c r="R302" s="105"/>
      <c r="S302" s="105"/>
    </row>
    <row r="303" spans="1:19" s="28" customFormat="1">
      <c r="A303" s="55">
        <f>IF(F303&lt;&gt;"",1+MAX($A$2:A302),"")</f>
        <v>198</v>
      </c>
      <c r="B303" s="75"/>
      <c r="C303" s="56"/>
      <c r="D303" s="51" t="s">
        <v>286</v>
      </c>
      <c r="E303" s="60">
        <f>SUM(E272:E302)</f>
        <v>75</v>
      </c>
      <c r="F303" s="59">
        <v>0</v>
      </c>
      <c r="G303" s="64">
        <f t="shared" ref="G303" si="433">(F303*E303)+E303</f>
        <v>75</v>
      </c>
      <c r="H303" s="60" t="s">
        <v>124</v>
      </c>
      <c r="I303" s="90">
        <v>3.5</v>
      </c>
      <c r="J303" s="91">
        <f t="shared" ref="J303" si="434">+I303*G303</f>
        <v>262.5</v>
      </c>
      <c r="K303" s="92">
        <f>'LABOR SHEET'!C$3</f>
        <v>36</v>
      </c>
      <c r="L303" s="93">
        <f t="shared" ref="L303" si="435">I303*K303</f>
        <v>126</v>
      </c>
      <c r="M303" s="93">
        <f t="shared" ref="M303" si="436">K303*J303</f>
        <v>9450</v>
      </c>
      <c r="N303" s="93">
        <v>410</v>
      </c>
      <c r="O303" s="93">
        <f t="shared" ref="O303" si="437">N303*G303</f>
        <v>30750</v>
      </c>
      <c r="P303" s="93">
        <f t="shared" ref="P303" si="438">(I303*K303)+N303</f>
        <v>536</v>
      </c>
      <c r="Q303" s="112">
        <f t="shared" ref="Q303" si="439">P303*G303</f>
        <v>40200</v>
      </c>
      <c r="R303" s="105"/>
      <c r="S303" s="105"/>
    </row>
    <row r="304" spans="1:19" s="28" customFormat="1">
      <c r="A304" s="55" t="str">
        <f>IF(F304&lt;&gt;"",1+MAX($A$2:A303),"")</f>
        <v/>
      </c>
      <c r="B304" s="75"/>
      <c r="C304" s="157"/>
      <c r="D304" s="51"/>
      <c r="E304" s="84"/>
      <c r="F304" s="59"/>
      <c r="G304" s="60"/>
      <c r="H304" s="60"/>
      <c r="I304" s="90"/>
      <c r="J304" s="91"/>
      <c r="K304" s="92"/>
      <c r="L304" s="93"/>
      <c r="M304" s="93"/>
      <c r="N304" s="93"/>
      <c r="O304" s="93"/>
      <c r="P304" s="93"/>
      <c r="Q304" s="111"/>
      <c r="R304" s="105"/>
      <c r="S304" s="105"/>
    </row>
    <row r="305" spans="1:19" s="28" customFormat="1">
      <c r="A305" s="55" t="str">
        <f>IF(F305&lt;&gt;"",1+MAX($A$2:A304),"")</f>
        <v/>
      </c>
      <c r="B305" s="71"/>
      <c r="C305" s="66"/>
      <c r="D305" s="143" t="s">
        <v>287</v>
      </c>
      <c r="E305" s="73"/>
      <c r="F305" s="74"/>
      <c r="G305" s="60"/>
      <c r="H305" s="60"/>
      <c r="I305" s="101"/>
      <c r="J305" s="101"/>
      <c r="K305" s="101"/>
      <c r="L305" s="101"/>
      <c r="M305" s="101"/>
      <c r="N305" s="101"/>
      <c r="O305" s="101"/>
      <c r="P305" s="101"/>
      <c r="Q305" s="111"/>
      <c r="R305" s="105"/>
      <c r="S305" s="105"/>
    </row>
    <row r="306" spans="1:19" s="28" customFormat="1" ht="31">
      <c r="A306" s="55">
        <f>IF(F306&lt;&gt;"",1+MAX($A$2:A305),"")</f>
        <v>199</v>
      </c>
      <c r="B306" s="75"/>
      <c r="C306" s="56"/>
      <c r="D306" s="155" t="s">
        <v>288</v>
      </c>
      <c r="E306" s="159">
        <v>36</v>
      </c>
      <c r="F306" s="59">
        <v>0</v>
      </c>
      <c r="G306" s="64">
        <f t="shared" ref="G306:G316" si="440">(F306*E306)+E306</f>
        <v>36</v>
      </c>
      <c r="H306" s="60" t="s">
        <v>124</v>
      </c>
      <c r="I306" s="90">
        <f>0.22*3*6+0.12*3*7</f>
        <v>6.48</v>
      </c>
      <c r="J306" s="91">
        <f t="shared" ref="J306:J316" si="441">+I306*G306</f>
        <v>233.28</v>
      </c>
      <c r="K306" s="92">
        <f>'LABOR SHEET'!C$3</f>
        <v>36</v>
      </c>
      <c r="L306" s="93">
        <f t="shared" ref="L306:L316" si="442">I306*K306</f>
        <v>233.28</v>
      </c>
      <c r="M306" s="93">
        <f t="shared" ref="M306:M316" si="443">K306*J306</f>
        <v>8398.08</v>
      </c>
      <c r="N306" s="93">
        <f>50*3*6+10*3*7</f>
        <v>1110</v>
      </c>
      <c r="O306" s="93">
        <f t="shared" ref="O306:O316" si="444">N306*G306</f>
        <v>39960</v>
      </c>
      <c r="P306" s="93">
        <f t="shared" ref="P306:P316" si="445">(I306*K306)+N306</f>
        <v>1343.28</v>
      </c>
      <c r="Q306" s="112">
        <f t="shared" ref="Q306:Q316" si="446">P306*G306</f>
        <v>48358.080000000002</v>
      </c>
      <c r="R306" s="105"/>
      <c r="S306" s="105"/>
    </row>
    <row r="307" spans="1:19" s="28" customFormat="1" ht="31">
      <c r="A307" s="55">
        <f>IF(F307&lt;&gt;"",1+MAX($A$2:A306),"")</f>
        <v>200</v>
      </c>
      <c r="B307" s="75"/>
      <c r="C307" s="56"/>
      <c r="D307" s="155" t="s">
        <v>289</v>
      </c>
      <c r="E307" s="159">
        <v>1</v>
      </c>
      <c r="F307" s="59">
        <v>0</v>
      </c>
      <c r="G307" s="64">
        <f t="shared" si="440"/>
        <v>1</v>
      </c>
      <c r="H307" s="60" t="s">
        <v>124</v>
      </c>
      <c r="I307" s="90">
        <f>0.22*3*5+0.12*3*7</f>
        <v>5.82</v>
      </c>
      <c r="J307" s="91">
        <f t="shared" si="441"/>
        <v>5.82</v>
      </c>
      <c r="K307" s="92">
        <f>'LABOR SHEET'!C$3</f>
        <v>36</v>
      </c>
      <c r="L307" s="93">
        <f t="shared" si="442"/>
        <v>209.52</v>
      </c>
      <c r="M307" s="93">
        <f t="shared" si="443"/>
        <v>209.52</v>
      </c>
      <c r="N307" s="93">
        <f>50*3*5+10*3*7</f>
        <v>960</v>
      </c>
      <c r="O307" s="93">
        <f t="shared" si="444"/>
        <v>960</v>
      </c>
      <c r="P307" s="93">
        <f t="shared" si="445"/>
        <v>1169.52</v>
      </c>
      <c r="Q307" s="112">
        <f t="shared" si="446"/>
        <v>1169.52</v>
      </c>
      <c r="R307" s="105"/>
      <c r="S307" s="105"/>
    </row>
    <row r="308" spans="1:19" s="28" customFormat="1" ht="31">
      <c r="A308" s="55">
        <f>IF(F308&lt;&gt;"",1+MAX($A$2:A307),"")</f>
        <v>201</v>
      </c>
      <c r="B308" s="75"/>
      <c r="C308" s="56"/>
      <c r="D308" s="155" t="s">
        <v>290</v>
      </c>
      <c r="E308" s="159">
        <v>2</v>
      </c>
      <c r="F308" s="59">
        <v>0</v>
      </c>
      <c r="G308" s="64">
        <f t="shared" si="440"/>
        <v>2</v>
      </c>
      <c r="H308" s="60" t="s">
        <v>124</v>
      </c>
      <c r="I308" s="90">
        <f>0.22*2.67*5+0.12*3*7</f>
        <v>5.4569999999999999</v>
      </c>
      <c r="J308" s="91">
        <f t="shared" si="441"/>
        <v>10.914</v>
      </c>
      <c r="K308" s="92">
        <f>'LABOR SHEET'!C$3</f>
        <v>36</v>
      </c>
      <c r="L308" s="93">
        <f t="shared" si="442"/>
        <v>196.452</v>
      </c>
      <c r="M308" s="93">
        <f t="shared" si="443"/>
        <v>392.904</v>
      </c>
      <c r="N308" s="93">
        <f>50*2.67*6+10*3*7</f>
        <v>1011</v>
      </c>
      <c r="O308" s="93">
        <f t="shared" si="444"/>
        <v>2022</v>
      </c>
      <c r="P308" s="93">
        <f t="shared" si="445"/>
        <v>1207.452</v>
      </c>
      <c r="Q308" s="112">
        <f t="shared" si="446"/>
        <v>2414.904</v>
      </c>
      <c r="R308" s="105"/>
      <c r="S308" s="105"/>
    </row>
    <row r="309" spans="1:19" s="28" customFormat="1">
      <c r="A309" s="55">
        <f>IF(F309&lt;&gt;"",1+MAX($A$2:A308),"")</f>
        <v>202</v>
      </c>
      <c r="B309" s="75"/>
      <c r="C309" s="56"/>
      <c r="D309" s="155" t="s">
        <v>291</v>
      </c>
      <c r="E309" s="159">
        <v>6</v>
      </c>
      <c r="F309" s="59">
        <v>0</v>
      </c>
      <c r="G309" s="64">
        <f t="shared" si="440"/>
        <v>6</v>
      </c>
      <c r="H309" s="60" t="s">
        <v>124</v>
      </c>
      <c r="I309" s="90">
        <f>0.26*3*6</f>
        <v>4.68</v>
      </c>
      <c r="J309" s="91">
        <f t="shared" si="441"/>
        <v>28.08</v>
      </c>
      <c r="K309" s="92">
        <f>'LABOR SHEET'!C$3</f>
        <v>36</v>
      </c>
      <c r="L309" s="93">
        <f t="shared" si="442"/>
        <v>168.48</v>
      </c>
      <c r="M309" s="93">
        <f t="shared" si="443"/>
        <v>1010.88</v>
      </c>
      <c r="N309" s="93">
        <f>55*3*6</f>
        <v>990</v>
      </c>
      <c r="O309" s="93">
        <f t="shared" si="444"/>
        <v>5940</v>
      </c>
      <c r="P309" s="93">
        <f t="shared" si="445"/>
        <v>1158.48</v>
      </c>
      <c r="Q309" s="112">
        <f t="shared" si="446"/>
        <v>6950.88</v>
      </c>
      <c r="R309" s="105"/>
      <c r="S309" s="105"/>
    </row>
    <row r="310" spans="1:19" s="28" customFormat="1">
      <c r="A310" s="55">
        <f>IF(F310&lt;&gt;"",1+MAX($A$2:A309),"")</f>
        <v>203</v>
      </c>
      <c r="B310" s="75"/>
      <c r="C310" s="56"/>
      <c r="D310" s="155" t="s">
        <v>292</v>
      </c>
      <c r="E310" s="159">
        <v>3</v>
      </c>
      <c r="F310" s="59">
        <v>0</v>
      </c>
      <c r="G310" s="64">
        <f t="shared" si="440"/>
        <v>3</v>
      </c>
      <c r="H310" s="60" t="s">
        <v>124</v>
      </c>
      <c r="I310" s="90">
        <f>0.26*3*6.5</f>
        <v>5.07</v>
      </c>
      <c r="J310" s="91">
        <f t="shared" si="441"/>
        <v>15.21</v>
      </c>
      <c r="K310" s="92">
        <f>'LABOR SHEET'!C$3</f>
        <v>36</v>
      </c>
      <c r="L310" s="93">
        <f t="shared" si="442"/>
        <v>182.52</v>
      </c>
      <c r="M310" s="93">
        <f t="shared" si="443"/>
        <v>547.55999999999995</v>
      </c>
      <c r="N310" s="93">
        <f>55*3*6.5</f>
        <v>1072.5</v>
      </c>
      <c r="O310" s="93">
        <f t="shared" si="444"/>
        <v>3217.5</v>
      </c>
      <c r="P310" s="93">
        <f t="shared" si="445"/>
        <v>1255.02</v>
      </c>
      <c r="Q310" s="112">
        <f t="shared" si="446"/>
        <v>3765.06</v>
      </c>
      <c r="R310" s="105"/>
      <c r="S310" s="105"/>
    </row>
    <row r="311" spans="1:19" s="28" customFormat="1">
      <c r="A311" s="55">
        <f>IF(F311&lt;&gt;"",1+MAX($A$2:A310),"")</f>
        <v>204</v>
      </c>
      <c r="B311" s="75"/>
      <c r="C311" s="56"/>
      <c r="D311" s="155" t="s">
        <v>291</v>
      </c>
      <c r="E311" s="159">
        <v>9</v>
      </c>
      <c r="F311" s="59">
        <v>0</v>
      </c>
      <c r="G311" s="64">
        <f t="shared" si="440"/>
        <v>9</v>
      </c>
      <c r="H311" s="60" t="s">
        <v>124</v>
      </c>
      <c r="I311" s="90">
        <f>0.26*3*6</f>
        <v>4.68</v>
      </c>
      <c r="J311" s="91">
        <f t="shared" si="441"/>
        <v>42.12</v>
      </c>
      <c r="K311" s="92">
        <f>'LABOR SHEET'!C$3</f>
        <v>36</v>
      </c>
      <c r="L311" s="93">
        <f t="shared" si="442"/>
        <v>168.48</v>
      </c>
      <c r="M311" s="93">
        <f t="shared" si="443"/>
        <v>1516.32</v>
      </c>
      <c r="N311" s="93">
        <f>55*3*6</f>
        <v>990</v>
      </c>
      <c r="O311" s="93">
        <f t="shared" si="444"/>
        <v>8910</v>
      </c>
      <c r="P311" s="93">
        <f t="shared" si="445"/>
        <v>1158.48</v>
      </c>
      <c r="Q311" s="112">
        <f t="shared" si="446"/>
        <v>10426.32</v>
      </c>
      <c r="R311" s="105"/>
      <c r="S311" s="105"/>
    </row>
    <row r="312" spans="1:19" s="28" customFormat="1">
      <c r="A312" s="55">
        <f>IF(F312&lt;&gt;"",1+MAX($A$2:A311),"")</f>
        <v>205</v>
      </c>
      <c r="B312" s="75"/>
      <c r="C312" s="56"/>
      <c r="D312" s="155" t="s">
        <v>293</v>
      </c>
      <c r="E312" s="159">
        <v>12</v>
      </c>
      <c r="F312" s="59">
        <v>0</v>
      </c>
      <c r="G312" s="64">
        <f t="shared" si="440"/>
        <v>12</v>
      </c>
      <c r="H312" s="60" t="s">
        <v>124</v>
      </c>
      <c r="I312" s="90">
        <f>0.26*3*5.5</f>
        <v>4.29</v>
      </c>
      <c r="J312" s="91">
        <f t="shared" si="441"/>
        <v>51.48</v>
      </c>
      <c r="K312" s="92">
        <f>'LABOR SHEET'!C$3</f>
        <v>36</v>
      </c>
      <c r="L312" s="93">
        <f t="shared" si="442"/>
        <v>154.44</v>
      </c>
      <c r="M312" s="93">
        <f t="shared" si="443"/>
        <v>1853.28</v>
      </c>
      <c r="N312" s="93">
        <f>55*3*5.5</f>
        <v>907.5</v>
      </c>
      <c r="O312" s="93">
        <f t="shared" si="444"/>
        <v>10890</v>
      </c>
      <c r="P312" s="93">
        <f t="shared" si="445"/>
        <v>1061.94</v>
      </c>
      <c r="Q312" s="112">
        <f t="shared" si="446"/>
        <v>12743.28</v>
      </c>
      <c r="R312" s="105"/>
      <c r="S312" s="105"/>
    </row>
    <row r="313" spans="1:19" s="28" customFormat="1">
      <c r="A313" s="55">
        <f>IF(F313&lt;&gt;"",1+MAX($A$2:A312),"")</f>
        <v>206</v>
      </c>
      <c r="B313" s="75"/>
      <c r="C313" s="56"/>
      <c r="D313" s="155" t="s">
        <v>294</v>
      </c>
      <c r="E313" s="159">
        <v>1</v>
      </c>
      <c r="F313" s="59">
        <v>0</v>
      </c>
      <c r="G313" s="64">
        <f t="shared" si="440"/>
        <v>1</v>
      </c>
      <c r="H313" s="60" t="s">
        <v>124</v>
      </c>
      <c r="I313" s="90">
        <f>0.22*3*5.5</f>
        <v>3.63</v>
      </c>
      <c r="J313" s="91">
        <f t="shared" si="441"/>
        <v>3.63</v>
      </c>
      <c r="K313" s="92">
        <f>'LABOR SHEET'!C$3</f>
        <v>36</v>
      </c>
      <c r="L313" s="93">
        <f t="shared" si="442"/>
        <v>130.68</v>
      </c>
      <c r="M313" s="93">
        <f t="shared" si="443"/>
        <v>130.68</v>
      </c>
      <c r="N313" s="93">
        <f>50*3*5.5</f>
        <v>825</v>
      </c>
      <c r="O313" s="93">
        <f t="shared" si="444"/>
        <v>825</v>
      </c>
      <c r="P313" s="93">
        <f t="shared" si="445"/>
        <v>955.68</v>
      </c>
      <c r="Q313" s="112">
        <f t="shared" si="446"/>
        <v>955.68</v>
      </c>
      <c r="R313" s="105"/>
      <c r="S313" s="105"/>
    </row>
    <row r="314" spans="1:19" s="28" customFormat="1">
      <c r="A314" s="55">
        <f>IF(F314&lt;&gt;"",1+MAX($A$2:A313),"")</f>
        <v>207</v>
      </c>
      <c r="B314" s="75"/>
      <c r="C314" s="56"/>
      <c r="D314" s="155" t="s">
        <v>295</v>
      </c>
      <c r="E314" s="159">
        <v>3</v>
      </c>
      <c r="F314" s="59">
        <v>0</v>
      </c>
      <c r="G314" s="64">
        <f t="shared" si="440"/>
        <v>3</v>
      </c>
      <c r="H314" s="60" t="s">
        <v>124</v>
      </c>
      <c r="I314" s="90">
        <f>0.22*3*4.5</f>
        <v>2.97</v>
      </c>
      <c r="J314" s="91">
        <f t="shared" si="441"/>
        <v>8.91</v>
      </c>
      <c r="K314" s="92">
        <f>'LABOR SHEET'!C$3</f>
        <v>36</v>
      </c>
      <c r="L314" s="93">
        <f t="shared" si="442"/>
        <v>106.92</v>
      </c>
      <c r="M314" s="93">
        <f t="shared" si="443"/>
        <v>320.76</v>
      </c>
      <c r="N314" s="93">
        <f>50*3*4.5</f>
        <v>675</v>
      </c>
      <c r="O314" s="93">
        <f t="shared" si="444"/>
        <v>2025</v>
      </c>
      <c r="P314" s="93">
        <f t="shared" si="445"/>
        <v>781.92</v>
      </c>
      <c r="Q314" s="112">
        <f t="shared" si="446"/>
        <v>2345.7600000000002</v>
      </c>
      <c r="R314" s="105"/>
      <c r="S314" s="105"/>
    </row>
    <row r="315" spans="1:19" s="28" customFormat="1">
      <c r="A315" s="55">
        <f>IF(F315&lt;&gt;"",1+MAX($A$2:A314),"")</f>
        <v>208</v>
      </c>
      <c r="B315" s="75"/>
      <c r="C315" s="56"/>
      <c r="D315" s="155" t="s">
        <v>296</v>
      </c>
      <c r="E315" s="159">
        <v>1</v>
      </c>
      <c r="F315" s="59">
        <v>0</v>
      </c>
      <c r="G315" s="64">
        <f t="shared" si="440"/>
        <v>1</v>
      </c>
      <c r="H315" s="60" t="s">
        <v>124</v>
      </c>
      <c r="I315" s="90">
        <f>0.22*3*3</f>
        <v>1.98</v>
      </c>
      <c r="J315" s="91">
        <f t="shared" si="441"/>
        <v>1.98</v>
      </c>
      <c r="K315" s="92">
        <f>'LABOR SHEET'!C$3</f>
        <v>36</v>
      </c>
      <c r="L315" s="93">
        <f t="shared" si="442"/>
        <v>71.28</v>
      </c>
      <c r="M315" s="93">
        <f t="shared" si="443"/>
        <v>71.28</v>
      </c>
      <c r="N315" s="93">
        <f>50*3*3</f>
        <v>450</v>
      </c>
      <c r="O315" s="93">
        <f t="shared" si="444"/>
        <v>450</v>
      </c>
      <c r="P315" s="93">
        <f t="shared" si="445"/>
        <v>521.28</v>
      </c>
      <c r="Q315" s="112">
        <f t="shared" si="446"/>
        <v>521.28</v>
      </c>
      <c r="R315" s="105"/>
      <c r="S315" s="105"/>
    </row>
    <row r="316" spans="1:19" s="28" customFormat="1">
      <c r="A316" s="55">
        <f>IF(F316&lt;&gt;"",1+MAX($A$2:A315),"")</f>
        <v>209</v>
      </c>
      <c r="B316" s="75"/>
      <c r="C316" s="56"/>
      <c r="D316" s="155" t="s">
        <v>297</v>
      </c>
      <c r="E316" s="159">
        <v>1</v>
      </c>
      <c r="F316" s="59">
        <v>0</v>
      </c>
      <c r="G316" s="64">
        <f t="shared" si="440"/>
        <v>1</v>
      </c>
      <c r="H316" s="60" t="s">
        <v>124</v>
      </c>
      <c r="I316" s="90">
        <f>0.3*10*7</f>
        <v>21</v>
      </c>
      <c r="J316" s="91">
        <f t="shared" si="441"/>
        <v>21</v>
      </c>
      <c r="K316" s="92">
        <f>'LABOR SHEET'!C$3</f>
        <v>36</v>
      </c>
      <c r="L316" s="93">
        <f t="shared" si="442"/>
        <v>756</v>
      </c>
      <c r="M316" s="93">
        <f t="shared" si="443"/>
        <v>756</v>
      </c>
      <c r="N316" s="93">
        <f>60*10*7</f>
        <v>4200</v>
      </c>
      <c r="O316" s="93">
        <f t="shared" si="444"/>
        <v>4200</v>
      </c>
      <c r="P316" s="93">
        <f t="shared" si="445"/>
        <v>4956</v>
      </c>
      <c r="Q316" s="112">
        <f t="shared" si="446"/>
        <v>4956</v>
      </c>
      <c r="R316" s="105"/>
      <c r="S316" s="105"/>
    </row>
    <row r="317" spans="1:19" s="28" customFormat="1">
      <c r="A317" s="55" t="str">
        <f>IF(F317&lt;&gt;"",1+MAX($A$2:A316),"")</f>
        <v/>
      </c>
      <c r="B317" s="75"/>
      <c r="C317" s="126"/>
      <c r="D317" s="57"/>
      <c r="E317" s="58"/>
      <c r="F317" s="59"/>
      <c r="G317" s="60"/>
      <c r="H317" s="60"/>
      <c r="I317" s="171"/>
      <c r="J317" s="171"/>
      <c r="K317" s="101"/>
      <c r="L317" s="101"/>
      <c r="M317" s="101"/>
      <c r="N317" s="93"/>
      <c r="O317" s="101"/>
      <c r="P317" s="101"/>
      <c r="Q317" s="111"/>
      <c r="R317" s="105"/>
      <c r="S317" s="105"/>
    </row>
    <row r="318" spans="1:19" s="28" customFormat="1">
      <c r="A318" s="55" t="str">
        <f>IF(F318&lt;&gt;"",1+MAX($A$2:A317),"")</f>
        <v/>
      </c>
      <c r="B318" s="71"/>
      <c r="C318" s="66"/>
      <c r="D318" s="143" t="s">
        <v>298</v>
      </c>
      <c r="E318" s="73"/>
      <c r="F318" s="74"/>
      <c r="G318" s="60"/>
      <c r="H318" s="60"/>
      <c r="I318" s="101"/>
      <c r="J318" s="101"/>
      <c r="K318" s="101"/>
      <c r="L318" s="101"/>
      <c r="M318" s="101"/>
      <c r="N318" s="101"/>
      <c r="O318" s="101"/>
      <c r="P318" s="101"/>
      <c r="Q318" s="111"/>
      <c r="R318" s="105"/>
      <c r="S318" s="105"/>
    </row>
    <row r="319" spans="1:19" s="28" customFormat="1">
      <c r="A319" s="55">
        <f>IF(F319&lt;&gt;"",1+MAX($A$2:A318),"")</f>
        <v>210</v>
      </c>
      <c r="B319" s="75"/>
      <c r="C319" s="56"/>
      <c r="D319" s="155" t="s">
        <v>299</v>
      </c>
      <c r="E319" s="159">
        <v>1</v>
      </c>
      <c r="F319" s="59">
        <v>0</v>
      </c>
      <c r="G319" s="64">
        <f t="shared" ref="G319:G323" si="447">(F319*E319)+E319</f>
        <v>1</v>
      </c>
      <c r="H319" s="60" t="s">
        <v>124</v>
      </c>
      <c r="I319" s="90">
        <f>0.2*2.5*8</f>
        <v>4</v>
      </c>
      <c r="J319" s="91">
        <f t="shared" ref="J319:J323" si="448">+I319*G319</f>
        <v>4</v>
      </c>
      <c r="K319" s="92">
        <f>'LABOR SHEET'!C$3</f>
        <v>36</v>
      </c>
      <c r="L319" s="93">
        <f t="shared" ref="L319:L323" si="449">I319*K319</f>
        <v>144</v>
      </c>
      <c r="M319" s="93">
        <f t="shared" ref="M319:M323" si="450">K319*J319</f>
        <v>144</v>
      </c>
      <c r="N319" s="93">
        <f>40*2.5*8</f>
        <v>800</v>
      </c>
      <c r="O319" s="93">
        <f t="shared" ref="O319:O323" si="451">N319*G319</f>
        <v>800</v>
      </c>
      <c r="P319" s="93">
        <f t="shared" ref="P319:P323" si="452">(I319*K319)+N319</f>
        <v>944</v>
      </c>
      <c r="Q319" s="112">
        <f t="shared" ref="Q319:Q323" si="453">P319*G319</f>
        <v>944</v>
      </c>
      <c r="R319" s="105"/>
      <c r="S319" s="105"/>
    </row>
    <row r="320" spans="1:19" s="28" customFormat="1">
      <c r="A320" s="55">
        <f>IF(F320&lt;&gt;"",1+MAX($A$2:A319),"")</f>
        <v>211</v>
      </c>
      <c r="B320" s="75"/>
      <c r="C320" s="56"/>
      <c r="D320" s="155" t="s">
        <v>300</v>
      </c>
      <c r="E320" s="159">
        <v>1</v>
      </c>
      <c r="F320" s="59">
        <v>0</v>
      </c>
      <c r="G320" s="64">
        <f t="shared" si="447"/>
        <v>1</v>
      </c>
      <c r="H320" s="60" t="s">
        <v>124</v>
      </c>
      <c r="I320" s="90">
        <f>0.2*2.67*8</f>
        <v>4.2720000000000002</v>
      </c>
      <c r="J320" s="91">
        <f t="shared" si="448"/>
        <v>4.2720000000000002</v>
      </c>
      <c r="K320" s="92">
        <f>'LABOR SHEET'!C$3</f>
        <v>36</v>
      </c>
      <c r="L320" s="93">
        <f t="shared" si="449"/>
        <v>153.792</v>
      </c>
      <c r="M320" s="93">
        <f t="shared" si="450"/>
        <v>153.792</v>
      </c>
      <c r="N320" s="93">
        <f>40*2.67*8</f>
        <v>854.4</v>
      </c>
      <c r="O320" s="93">
        <f t="shared" si="451"/>
        <v>854.4</v>
      </c>
      <c r="P320" s="93">
        <f t="shared" si="452"/>
        <v>1008.192</v>
      </c>
      <c r="Q320" s="112">
        <f t="shared" si="453"/>
        <v>1008.192</v>
      </c>
      <c r="R320" s="105"/>
      <c r="S320" s="105"/>
    </row>
    <row r="321" spans="1:36" s="28" customFormat="1">
      <c r="A321" s="55">
        <f>IF(F321&lt;&gt;"",1+MAX($A$2:A320),"")</f>
        <v>212</v>
      </c>
      <c r="B321" s="75"/>
      <c r="C321" s="56"/>
      <c r="D321" s="155" t="s">
        <v>301</v>
      </c>
      <c r="E321" s="159">
        <v>4</v>
      </c>
      <c r="F321" s="59">
        <v>0</v>
      </c>
      <c r="G321" s="64">
        <f t="shared" si="447"/>
        <v>4</v>
      </c>
      <c r="H321" s="60" t="s">
        <v>124</v>
      </c>
      <c r="I321" s="90">
        <f>0.2*3*8</f>
        <v>4.8</v>
      </c>
      <c r="J321" s="91">
        <f t="shared" si="448"/>
        <v>19.2</v>
      </c>
      <c r="K321" s="92">
        <f>'LABOR SHEET'!C$3</f>
        <v>36</v>
      </c>
      <c r="L321" s="93">
        <f t="shared" si="449"/>
        <v>172.8</v>
      </c>
      <c r="M321" s="93">
        <f t="shared" si="450"/>
        <v>691.2</v>
      </c>
      <c r="N321" s="93">
        <f>40*3*8</f>
        <v>960</v>
      </c>
      <c r="O321" s="93">
        <f t="shared" si="451"/>
        <v>3840</v>
      </c>
      <c r="P321" s="93">
        <f t="shared" si="452"/>
        <v>1132.8</v>
      </c>
      <c r="Q321" s="112">
        <f t="shared" si="453"/>
        <v>4531.2</v>
      </c>
      <c r="R321" s="105"/>
      <c r="S321" s="105"/>
    </row>
    <row r="322" spans="1:36" s="28" customFormat="1">
      <c r="A322" s="55">
        <f>IF(F322&lt;&gt;"",1+MAX($A$2:A321),"")</f>
        <v>213</v>
      </c>
      <c r="B322" s="75"/>
      <c r="C322" s="56"/>
      <c r="D322" s="155" t="s">
        <v>302</v>
      </c>
      <c r="E322" s="159">
        <v>1</v>
      </c>
      <c r="F322" s="59">
        <v>0</v>
      </c>
      <c r="G322" s="64">
        <f t="shared" si="447"/>
        <v>1</v>
      </c>
      <c r="H322" s="60" t="s">
        <v>124</v>
      </c>
      <c r="I322" s="90">
        <f>0.2*4*8</f>
        <v>6.4</v>
      </c>
      <c r="J322" s="91">
        <f t="shared" si="448"/>
        <v>6.4</v>
      </c>
      <c r="K322" s="92">
        <f>'LABOR SHEET'!C$3</f>
        <v>36</v>
      </c>
      <c r="L322" s="93">
        <f t="shared" si="449"/>
        <v>230.4</v>
      </c>
      <c r="M322" s="93">
        <f t="shared" si="450"/>
        <v>230.4</v>
      </c>
      <c r="N322" s="93">
        <f>40*4*8</f>
        <v>1280</v>
      </c>
      <c r="O322" s="93">
        <f t="shared" si="451"/>
        <v>1280</v>
      </c>
      <c r="P322" s="93">
        <f t="shared" si="452"/>
        <v>1510.4</v>
      </c>
      <c r="Q322" s="112">
        <f t="shared" si="453"/>
        <v>1510.4</v>
      </c>
      <c r="R322" s="105"/>
      <c r="S322" s="105"/>
    </row>
    <row r="323" spans="1:36" s="28" customFormat="1">
      <c r="A323" s="55">
        <f>IF(F323&lt;&gt;"",1+MAX($A$2:A322),"")</f>
        <v>214</v>
      </c>
      <c r="B323" s="75"/>
      <c r="C323" s="56"/>
      <c r="D323" s="155" t="s">
        <v>303</v>
      </c>
      <c r="E323" s="159">
        <v>1</v>
      </c>
      <c r="F323" s="59">
        <v>0</v>
      </c>
      <c r="G323" s="64">
        <f t="shared" si="447"/>
        <v>1</v>
      </c>
      <c r="H323" s="60" t="s">
        <v>124</v>
      </c>
      <c r="I323" s="90">
        <f>0.2*4.5*8</f>
        <v>7.2</v>
      </c>
      <c r="J323" s="91">
        <f t="shared" si="448"/>
        <v>7.2</v>
      </c>
      <c r="K323" s="92">
        <f>'LABOR SHEET'!C$3</f>
        <v>36</v>
      </c>
      <c r="L323" s="93">
        <f t="shared" si="449"/>
        <v>259.2</v>
      </c>
      <c r="M323" s="93">
        <f t="shared" si="450"/>
        <v>259.2</v>
      </c>
      <c r="N323" s="93">
        <f>40*4.5*8</f>
        <v>1440</v>
      </c>
      <c r="O323" s="93">
        <f t="shared" si="451"/>
        <v>1440</v>
      </c>
      <c r="P323" s="93">
        <f t="shared" si="452"/>
        <v>1699.2</v>
      </c>
      <c r="Q323" s="112">
        <f t="shared" si="453"/>
        <v>1699.2</v>
      </c>
      <c r="R323" s="105"/>
      <c r="S323" s="105"/>
    </row>
    <row r="324" spans="1:36" s="28" customFormat="1">
      <c r="A324" s="55" t="str">
        <f>IF(F324&lt;&gt;"",1+MAX($A$2:A323),"")</f>
        <v/>
      </c>
      <c r="B324" s="75"/>
      <c r="C324" s="126"/>
      <c r="D324" s="57"/>
      <c r="E324" s="58"/>
      <c r="F324" s="59"/>
      <c r="G324" s="60"/>
      <c r="H324" s="60"/>
      <c r="I324" s="171"/>
      <c r="J324" s="171"/>
      <c r="K324" s="101"/>
      <c r="L324" s="101"/>
      <c r="M324" s="101"/>
      <c r="N324" s="101"/>
      <c r="O324" s="101"/>
      <c r="P324" s="101"/>
      <c r="Q324" s="111"/>
      <c r="R324" s="105"/>
      <c r="S324" s="105"/>
    </row>
    <row r="325" spans="1:36" s="28" customFormat="1">
      <c r="A325" s="55" t="str">
        <f>IF(F325&lt;&gt;"",1+MAX($A$2:A324),"")</f>
        <v/>
      </c>
      <c r="B325" s="71"/>
      <c r="C325" s="66"/>
      <c r="D325" s="143" t="s">
        <v>304</v>
      </c>
      <c r="E325" s="73"/>
      <c r="F325" s="74"/>
      <c r="G325" s="60"/>
      <c r="H325" s="60"/>
      <c r="I325" s="101"/>
      <c r="J325" s="101"/>
      <c r="K325" s="101"/>
      <c r="L325" s="101"/>
      <c r="M325" s="101"/>
      <c r="N325" s="101"/>
      <c r="O325" s="101"/>
      <c r="P325" s="101"/>
      <c r="Q325" s="111"/>
      <c r="R325" s="105"/>
      <c r="S325" s="105"/>
    </row>
    <row r="326" spans="1:36" s="28" customFormat="1">
      <c r="A326" s="55">
        <f>IF(F326&lt;&gt;"",1+MAX($A$2:A325),"")</f>
        <v>215</v>
      </c>
      <c r="B326" s="75"/>
      <c r="C326" s="56"/>
      <c r="D326" s="155" t="s">
        <v>305</v>
      </c>
      <c r="E326" s="159">
        <v>2</v>
      </c>
      <c r="F326" s="59">
        <v>0</v>
      </c>
      <c r="G326" s="64">
        <f t="shared" ref="G326" si="454">(F326*E326)+E326</f>
        <v>2</v>
      </c>
      <c r="H326" s="60" t="s">
        <v>124</v>
      </c>
      <c r="I326" s="90">
        <f>0.4*4*2</f>
        <v>3.2</v>
      </c>
      <c r="J326" s="91">
        <f t="shared" ref="J326" si="455">+I326*G326</f>
        <v>6.4</v>
      </c>
      <c r="K326" s="92">
        <f>'LABOR SHEET'!C$3</f>
        <v>36</v>
      </c>
      <c r="L326" s="93">
        <f t="shared" ref="L326" si="456">I326*K326</f>
        <v>115.2</v>
      </c>
      <c r="M326" s="93">
        <f t="shared" ref="M326" si="457">K326*J326</f>
        <v>230.4</v>
      </c>
      <c r="N326" s="93">
        <f>60*4*2</f>
        <v>480</v>
      </c>
      <c r="O326" s="93">
        <f t="shared" ref="O326" si="458">N326*G326</f>
        <v>960</v>
      </c>
      <c r="P326" s="93">
        <f t="shared" ref="P326" si="459">(I326*K326)+N326</f>
        <v>595.20000000000005</v>
      </c>
      <c r="Q326" s="112">
        <f t="shared" ref="Q326" si="460">P326*G326</f>
        <v>1190.4000000000001</v>
      </c>
      <c r="R326" s="105"/>
      <c r="S326" s="105"/>
    </row>
    <row r="327" spans="1:36" s="28" customFormat="1">
      <c r="A327" s="55" t="str">
        <f>IF(F327&lt;&gt;"",1+MAX($A$2:A326),"")</f>
        <v/>
      </c>
      <c r="B327" s="75"/>
      <c r="C327" s="126"/>
      <c r="D327" s="57"/>
      <c r="E327" s="58"/>
      <c r="F327" s="59"/>
      <c r="G327" s="60"/>
      <c r="H327" s="60"/>
      <c r="I327" s="171"/>
      <c r="J327" s="171"/>
      <c r="K327" s="101"/>
      <c r="L327" s="101"/>
      <c r="M327" s="101"/>
      <c r="N327" s="101"/>
      <c r="O327" s="101"/>
      <c r="P327" s="101"/>
      <c r="Q327" s="111"/>
      <c r="R327" s="105"/>
      <c r="S327" s="105"/>
    </row>
    <row r="328" spans="1:36" s="28" customFormat="1">
      <c r="A328" s="55" t="str">
        <f>IF(F328&lt;&gt;"",1+MAX($A$2:A327),"")</f>
        <v/>
      </c>
      <c r="B328" s="71"/>
      <c r="C328" s="66"/>
      <c r="D328" s="143" t="s">
        <v>306</v>
      </c>
      <c r="E328" s="73"/>
      <c r="F328" s="74"/>
      <c r="G328" s="60"/>
      <c r="H328" s="60"/>
      <c r="I328" s="101"/>
      <c r="J328" s="101"/>
      <c r="K328" s="101"/>
      <c r="L328" s="101"/>
      <c r="M328" s="101"/>
      <c r="N328" s="101"/>
      <c r="O328" s="101"/>
      <c r="P328" s="101"/>
      <c r="Q328" s="111"/>
      <c r="R328" s="105"/>
      <c r="S328" s="105"/>
    </row>
    <row r="329" spans="1:36" s="28" customFormat="1">
      <c r="A329" s="55">
        <f>IF(F329&lt;&gt;"",1+MAX($A$2:A328),"")</f>
        <v>216</v>
      </c>
      <c r="B329" s="75"/>
      <c r="C329" s="56"/>
      <c r="D329" s="155" t="s">
        <v>307</v>
      </c>
      <c r="E329" s="156">
        <v>693</v>
      </c>
      <c r="F329" s="59">
        <v>0.1</v>
      </c>
      <c r="G329" s="64">
        <f t="shared" ref="G329" si="461">(F329*E329)+E329</f>
        <v>762.3</v>
      </c>
      <c r="H329" s="60" t="s">
        <v>67</v>
      </c>
      <c r="I329" s="90">
        <v>0.4</v>
      </c>
      <c r="J329" s="91">
        <f t="shared" ref="J329" si="462">+I329*G329</f>
        <v>304.92</v>
      </c>
      <c r="K329" s="92">
        <f>'LABOR SHEET'!C$3</f>
        <v>36</v>
      </c>
      <c r="L329" s="93">
        <f t="shared" ref="L329" si="463">I329*K329</f>
        <v>14.4</v>
      </c>
      <c r="M329" s="93">
        <f t="shared" ref="M329" si="464">K329*J329</f>
        <v>10977.12</v>
      </c>
      <c r="N329" s="93">
        <v>40</v>
      </c>
      <c r="O329" s="93">
        <f t="shared" ref="O329" si="465">N329*G329</f>
        <v>30492</v>
      </c>
      <c r="P329" s="93">
        <f t="shared" ref="P329" si="466">(I329*K329)+N329</f>
        <v>54.4</v>
      </c>
      <c r="Q329" s="112">
        <f t="shared" ref="Q329" si="467">P329*G329</f>
        <v>41469.120000000003</v>
      </c>
      <c r="R329" s="105"/>
      <c r="S329" s="105"/>
    </row>
    <row r="330" spans="1:36" s="28" customFormat="1">
      <c r="A330" s="55" t="str">
        <f>IF(F330&lt;&gt;"",1+MAX($A$2:A329),"")</f>
        <v/>
      </c>
      <c r="B330" s="75"/>
      <c r="C330" s="126"/>
      <c r="D330" s="57"/>
      <c r="E330" s="58"/>
      <c r="F330" s="59"/>
      <c r="G330" s="60"/>
      <c r="H330" s="60"/>
      <c r="I330" s="171"/>
      <c r="J330" s="171"/>
      <c r="K330" s="101"/>
      <c r="L330" s="101"/>
      <c r="M330" s="101"/>
      <c r="N330" s="101"/>
      <c r="O330" s="101"/>
      <c r="P330" s="101"/>
      <c r="Q330" s="111"/>
      <c r="R330" s="105"/>
      <c r="S330" s="105"/>
    </row>
    <row r="331" spans="1:36" s="29" customFormat="1">
      <c r="A331" s="55" t="str">
        <f>IF(F331&lt;&gt;"",1+MAX($A$2:A330),"")</f>
        <v/>
      </c>
      <c r="B331" s="71"/>
      <c r="C331" s="66"/>
      <c r="D331" s="67" t="s">
        <v>58</v>
      </c>
      <c r="E331" s="68"/>
      <c r="F331" s="68"/>
      <c r="G331" s="68"/>
      <c r="H331" s="68"/>
      <c r="I331" s="68"/>
      <c r="J331" s="130"/>
      <c r="K331" s="130"/>
      <c r="L331" s="131"/>
      <c r="M331" s="132"/>
      <c r="N331" s="131"/>
      <c r="O331" s="98"/>
      <c r="P331" s="98"/>
      <c r="Q331" s="106">
        <f>SUM(Q272:Q330)</f>
        <v>299173.86228</v>
      </c>
      <c r="R331" s="107"/>
    </row>
    <row r="332" spans="1:36" s="28" customFormat="1">
      <c r="A332" s="55" t="str">
        <f>IF(F332&lt;&gt;"",1+MAX($A$2:A331),"")</f>
        <v/>
      </c>
      <c r="B332" s="115"/>
      <c r="C332" s="115"/>
      <c r="D332" s="115"/>
      <c r="E332" s="116"/>
      <c r="F332" s="117"/>
      <c r="G332" s="116"/>
      <c r="H332" s="118"/>
      <c r="I332" s="133"/>
      <c r="J332" s="116"/>
      <c r="K332" s="134"/>
      <c r="L332" s="134"/>
      <c r="M332" s="134"/>
      <c r="N332" s="134"/>
      <c r="O332" s="134"/>
      <c r="P332" s="134"/>
      <c r="Q332" s="138"/>
      <c r="R332" s="105"/>
      <c r="S332" s="105"/>
    </row>
    <row r="333" spans="1:36" s="31" customFormat="1">
      <c r="A333" s="45" t="str">
        <f>IF(F333&lt;&gt;"",1+MAX($A$2:A332),"")</f>
        <v/>
      </c>
      <c r="B333" s="47"/>
      <c r="C333" s="47">
        <v>9</v>
      </c>
      <c r="D333" s="70" t="s">
        <v>308</v>
      </c>
      <c r="E333" s="47"/>
      <c r="F333" s="47"/>
      <c r="G333" s="47"/>
      <c r="H333" s="47"/>
      <c r="I333" s="47"/>
      <c r="J333" s="47"/>
      <c r="K333" s="47"/>
      <c r="L333" s="47" t="s">
        <v>309</v>
      </c>
      <c r="M333" s="47"/>
      <c r="N333" s="46"/>
      <c r="O333" s="46"/>
      <c r="P333" s="47"/>
      <c r="Q333" s="193"/>
      <c r="S333" s="194"/>
    </row>
    <row r="334" spans="1:36" s="31" customFormat="1">
      <c r="A334" s="55" t="str">
        <f>IF(F334&lt;&gt;"",1+MAX($A$2:A333),"")</f>
        <v/>
      </c>
      <c r="B334" s="172"/>
      <c r="C334" s="60"/>
      <c r="D334" s="143" t="s">
        <v>310</v>
      </c>
      <c r="E334" s="173"/>
      <c r="F334" s="173"/>
      <c r="G334" s="173"/>
      <c r="H334" s="173"/>
      <c r="I334" s="90"/>
      <c r="J334" s="125"/>
      <c r="K334" s="125"/>
      <c r="L334" s="93"/>
      <c r="M334" s="93"/>
      <c r="N334" s="93"/>
      <c r="O334" s="93"/>
      <c r="P334" s="93"/>
      <c r="Q334" s="111"/>
      <c r="R334" s="195"/>
      <c r="S334" s="195"/>
      <c r="T334" s="195"/>
      <c r="U334" s="195"/>
      <c r="V334" s="195"/>
      <c r="W334" s="195"/>
      <c r="X334" s="195"/>
      <c r="Y334" s="195"/>
      <c r="Z334" s="195"/>
      <c r="AA334" s="195"/>
      <c r="AB334" s="195"/>
      <c r="AC334" s="195"/>
      <c r="AD334" s="195"/>
      <c r="AE334" s="195"/>
      <c r="AF334" s="195"/>
      <c r="AG334" s="195"/>
      <c r="AH334" s="195"/>
      <c r="AI334" s="195"/>
      <c r="AJ334" s="195"/>
    </row>
    <row r="335" spans="1:36" s="31" customFormat="1">
      <c r="A335" s="55" t="str">
        <f>IF(F335&lt;&gt;"",1+MAX($A$2:A334),"")</f>
        <v/>
      </c>
      <c r="B335" s="174"/>
      <c r="C335" s="60"/>
      <c r="D335" s="175" t="s">
        <v>311</v>
      </c>
      <c r="E335" s="176"/>
      <c r="F335" s="124"/>
      <c r="G335" s="145"/>
      <c r="H335" s="160"/>
      <c r="I335" s="90"/>
      <c r="J335" s="91"/>
      <c r="K335" s="92"/>
      <c r="L335" s="93"/>
      <c r="M335" s="93"/>
      <c r="N335" s="93"/>
      <c r="O335" s="93"/>
      <c r="P335" s="93"/>
      <c r="Q335" s="111"/>
      <c r="R335" s="195"/>
      <c r="S335" s="195"/>
      <c r="T335" s="195"/>
      <c r="U335" s="195"/>
      <c r="V335" s="195"/>
      <c r="W335" s="195"/>
      <c r="X335" s="195"/>
      <c r="Y335" s="195"/>
      <c r="Z335" s="195"/>
      <c r="AA335" s="195"/>
      <c r="AB335" s="195"/>
      <c r="AC335" s="195"/>
      <c r="AD335" s="195"/>
      <c r="AE335" s="195"/>
      <c r="AF335" s="195"/>
      <c r="AG335" s="195"/>
      <c r="AH335" s="195"/>
      <c r="AI335" s="195"/>
      <c r="AJ335" s="195"/>
    </row>
    <row r="336" spans="1:36" s="31" customFormat="1">
      <c r="A336" s="55" t="str">
        <f>IF(F336&lt;&gt;"",1+MAX($A$2:A335),"")</f>
        <v/>
      </c>
      <c r="B336" s="174"/>
      <c r="C336" s="60"/>
      <c r="D336" s="177" t="s">
        <v>312</v>
      </c>
      <c r="E336" s="178">
        <v>118.2</v>
      </c>
      <c r="F336" s="179"/>
      <c r="G336" s="180"/>
      <c r="H336" s="181" t="s">
        <v>119</v>
      </c>
      <c r="I336" s="90"/>
      <c r="J336" s="91"/>
      <c r="K336" s="92"/>
      <c r="L336" s="93"/>
      <c r="M336" s="93"/>
      <c r="N336" s="93"/>
      <c r="O336" s="93"/>
      <c r="P336" s="93"/>
      <c r="Q336" s="111"/>
      <c r="R336" s="195"/>
      <c r="S336" s="195"/>
      <c r="T336" s="195"/>
      <c r="U336" s="195"/>
      <c r="V336" s="195"/>
      <c r="W336" s="195"/>
      <c r="X336" s="195"/>
      <c r="Y336" s="195"/>
      <c r="Z336" s="195"/>
      <c r="AA336" s="195"/>
      <c r="AB336" s="195"/>
      <c r="AC336" s="195"/>
      <c r="AD336" s="195"/>
      <c r="AE336" s="195"/>
      <c r="AF336" s="195"/>
      <c r="AG336" s="195"/>
      <c r="AH336" s="195"/>
      <c r="AI336" s="195"/>
      <c r="AJ336" s="195"/>
    </row>
    <row r="337" spans="1:36" s="31" customFormat="1">
      <c r="A337" s="55">
        <f>IF(F337&lt;&gt;"",1+MAX($A$2:A336),"")</f>
        <v>217</v>
      </c>
      <c r="B337" s="174"/>
      <c r="C337" s="60"/>
      <c r="D337" s="182" t="s">
        <v>313</v>
      </c>
      <c r="E337" s="183">
        <f>ROUNDUP(E336*1*(4),0)/1.33</f>
        <v>355.63909774436098</v>
      </c>
      <c r="F337" s="184">
        <v>0.05</v>
      </c>
      <c r="G337" s="185">
        <f t="shared" ref="G337:G339" si="468">E337*(1+F337)</f>
        <v>373.42105263157902</v>
      </c>
      <c r="H337" s="186" t="s">
        <v>119</v>
      </c>
      <c r="I337" s="90">
        <v>1.6E-2</v>
      </c>
      <c r="J337" s="91">
        <f t="shared" ref="J337" si="469">+I337*G337</f>
        <v>5.9747368421052602</v>
      </c>
      <c r="K337" s="92">
        <f>'LABOR SHEET'!C$8</f>
        <v>36</v>
      </c>
      <c r="L337" s="93">
        <f t="shared" ref="L337" si="470">I337*K337</f>
        <v>0.57599999999999996</v>
      </c>
      <c r="M337" s="93">
        <f t="shared" ref="M337" si="471">K337*J337</f>
        <v>215.09052631578899</v>
      </c>
      <c r="N337" s="93">
        <v>1.1000000000000001</v>
      </c>
      <c r="O337" s="93">
        <f t="shared" ref="O337" si="472">N337*G337</f>
        <v>410.76315789473699</v>
      </c>
      <c r="P337" s="93">
        <f t="shared" ref="P337" si="473">(I337*K337)+N337</f>
        <v>1.6759999999999999</v>
      </c>
      <c r="Q337" s="112">
        <f t="shared" ref="Q337" si="474">P337*G337</f>
        <v>625.85368421052601</v>
      </c>
      <c r="R337" s="195"/>
      <c r="S337" s="195"/>
      <c r="T337" s="195"/>
      <c r="U337" s="195"/>
      <c r="V337" s="195"/>
      <c r="W337" s="195"/>
      <c r="X337" s="195"/>
      <c r="Y337" s="195"/>
      <c r="Z337" s="195"/>
      <c r="AA337" s="195"/>
      <c r="AB337" s="195"/>
      <c r="AC337" s="195"/>
      <c r="AD337" s="195"/>
      <c r="AE337" s="195"/>
      <c r="AF337" s="195"/>
      <c r="AG337" s="195"/>
      <c r="AH337" s="195"/>
      <c r="AI337" s="195"/>
      <c r="AJ337" s="195"/>
    </row>
    <row r="338" spans="1:36" s="31" customFormat="1">
      <c r="A338" s="55">
        <f>IF(F338&lt;&gt;"",1+MAX($A$2:A337),"")</f>
        <v>218</v>
      </c>
      <c r="B338" s="174"/>
      <c r="C338" s="60"/>
      <c r="D338" s="182" t="s">
        <v>314</v>
      </c>
      <c r="E338" s="183">
        <f>E336*3</f>
        <v>354.6</v>
      </c>
      <c r="F338" s="184">
        <v>0.05</v>
      </c>
      <c r="G338" s="185">
        <f t="shared" si="468"/>
        <v>372.33</v>
      </c>
      <c r="H338" s="186" t="s">
        <v>119</v>
      </c>
      <c r="I338" s="90">
        <v>1.6E-2</v>
      </c>
      <c r="J338" s="91">
        <f t="shared" ref="J338" si="475">+I338*G338</f>
        <v>5.9572799999999999</v>
      </c>
      <c r="K338" s="92">
        <f>'LABOR SHEET'!C$8</f>
        <v>36</v>
      </c>
      <c r="L338" s="93">
        <f t="shared" ref="L338" si="476">I338*K338</f>
        <v>0.57599999999999996</v>
      </c>
      <c r="M338" s="93">
        <f t="shared" ref="M338" si="477">K338*J338</f>
        <v>214.46207999999999</v>
      </c>
      <c r="N338" s="93">
        <v>1.1000000000000001</v>
      </c>
      <c r="O338" s="93">
        <f t="shared" ref="O338" si="478">N338*G338</f>
        <v>409.56299999999999</v>
      </c>
      <c r="P338" s="93">
        <f t="shared" ref="P338" si="479">(I338*K338)+N338</f>
        <v>1.6759999999999999</v>
      </c>
      <c r="Q338" s="112">
        <f t="shared" ref="Q338" si="480">P338*G338</f>
        <v>624.02508</v>
      </c>
      <c r="R338" s="195"/>
      <c r="S338" s="195"/>
      <c r="T338" s="195"/>
      <c r="U338" s="195"/>
      <c r="V338" s="195"/>
      <c r="W338" s="195"/>
      <c r="X338" s="195"/>
      <c r="Y338" s="195"/>
      <c r="Z338" s="195"/>
      <c r="AA338" s="195"/>
      <c r="AB338" s="195"/>
      <c r="AC338" s="195"/>
      <c r="AD338" s="195"/>
      <c r="AE338" s="195"/>
      <c r="AF338" s="195"/>
      <c r="AG338" s="195"/>
      <c r="AH338" s="195"/>
      <c r="AI338" s="195"/>
      <c r="AJ338" s="195"/>
    </row>
    <row r="339" spans="1:36" s="31" customFormat="1">
      <c r="A339" s="55">
        <f>IF(F339&lt;&gt;"",1+MAX($A$2:A338),"")</f>
        <v>219</v>
      </c>
      <c r="B339" s="174"/>
      <c r="C339" s="60"/>
      <c r="D339" s="182" t="s">
        <v>315</v>
      </c>
      <c r="E339" s="183">
        <f>E336*1</f>
        <v>118.2</v>
      </c>
      <c r="F339" s="184">
        <v>0.05</v>
      </c>
      <c r="G339" s="185">
        <f t="shared" si="468"/>
        <v>124.11</v>
      </c>
      <c r="H339" s="186" t="s">
        <v>119</v>
      </c>
      <c r="I339" s="90">
        <v>1.6E-2</v>
      </c>
      <c r="J339" s="91">
        <f t="shared" ref="J339" si="481">+I339*G339</f>
        <v>1.98576</v>
      </c>
      <c r="K339" s="92">
        <f>'LABOR SHEET'!C$8</f>
        <v>36</v>
      </c>
      <c r="L339" s="93">
        <f t="shared" ref="L339" si="482">I339*K339</f>
        <v>0.57599999999999996</v>
      </c>
      <c r="M339" s="93">
        <f t="shared" ref="M339" si="483">K339*J339</f>
        <v>71.487359999999995</v>
      </c>
      <c r="N339" s="93">
        <v>1.4</v>
      </c>
      <c r="O339" s="93">
        <f t="shared" ref="O339" si="484">N339*G339</f>
        <v>173.75399999999999</v>
      </c>
      <c r="P339" s="93">
        <f t="shared" ref="P339" si="485">(I339*K339)+N339</f>
        <v>1.976</v>
      </c>
      <c r="Q339" s="112">
        <f t="shared" ref="Q339" si="486">P339*G339</f>
        <v>245.24135999999999</v>
      </c>
      <c r="R339" s="195"/>
      <c r="S339" s="195"/>
      <c r="T339" s="195"/>
      <c r="U339" s="195"/>
      <c r="V339" s="195"/>
      <c r="W339" s="195"/>
      <c r="X339" s="195"/>
      <c r="Y339" s="195"/>
      <c r="Z339" s="195"/>
      <c r="AA339" s="195"/>
      <c r="AB339" s="195"/>
      <c r="AC339" s="195"/>
      <c r="AD339" s="195"/>
      <c r="AE339" s="195"/>
      <c r="AF339" s="195"/>
      <c r="AG339" s="195"/>
      <c r="AH339" s="195"/>
      <c r="AI339" s="195"/>
      <c r="AJ339" s="195"/>
    </row>
    <row r="340" spans="1:36" s="31" customFormat="1">
      <c r="A340" s="55" t="str">
        <f>IF(F340&lt;&gt;"",1+MAX($A$2:A339),"")</f>
        <v/>
      </c>
      <c r="B340" s="174"/>
      <c r="C340" s="60"/>
      <c r="D340" s="182"/>
      <c r="E340" s="183"/>
      <c r="F340" s="184"/>
      <c r="G340" s="185"/>
      <c r="H340" s="186"/>
      <c r="I340" s="90"/>
      <c r="J340" s="91"/>
      <c r="K340" s="92"/>
      <c r="L340" s="93"/>
      <c r="M340" s="93"/>
      <c r="N340" s="151"/>
      <c r="O340" s="93"/>
      <c r="P340" s="93"/>
      <c r="Q340" s="112"/>
      <c r="R340" s="195"/>
      <c r="S340" s="195"/>
      <c r="T340" s="195"/>
      <c r="U340" s="195"/>
      <c r="V340" s="195"/>
      <c r="W340" s="195"/>
      <c r="X340" s="195"/>
      <c r="Y340" s="195"/>
      <c r="Z340" s="195"/>
      <c r="AA340" s="195"/>
      <c r="AB340" s="195"/>
      <c r="AC340" s="195"/>
      <c r="AD340" s="195"/>
      <c r="AE340" s="195"/>
      <c r="AF340" s="195"/>
      <c r="AG340" s="195"/>
      <c r="AH340" s="195"/>
      <c r="AI340" s="195"/>
      <c r="AJ340" s="195"/>
    </row>
    <row r="341" spans="1:36" s="31" customFormat="1">
      <c r="A341" s="55" t="str">
        <f>IF(F341&lt;&gt;"",1+MAX($A$2:A340),"")</f>
        <v/>
      </c>
      <c r="B341" s="174"/>
      <c r="C341" s="60"/>
      <c r="D341" s="177" t="s">
        <v>316</v>
      </c>
      <c r="E341" s="178">
        <v>33</v>
      </c>
      <c r="F341" s="179"/>
      <c r="G341" s="180"/>
      <c r="H341" s="181" t="s">
        <v>119</v>
      </c>
      <c r="I341" s="90"/>
      <c r="J341" s="91"/>
      <c r="K341" s="92"/>
      <c r="L341" s="93"/>
      <c r="M341" s="93"/>
      <c r="N341" s="93"/>
      <c r="O341" s="93"/>
      <c r="P341" s="93"/>
      <c r="Q341" s="111"/>
      <c r="R341" s="195"/>
      <c r="S341" s="195"/>
      <c r="T341" s="195"/>
      <c r="U341" s="195"/>
      <c r="V341" s="195"/>
      <c r="W341" s="195"/>
      <c r="X341" s="195"/>
      <c r="Y341" s="195"/>
      <c r="Z341" s="195"/>
      <c r="AA341" s="195"/>
      <c r="AB341" s="195"/>
      <c r="AC341" s="195"/>
      <c r="AD341" s="195"/>
      <c r="AE341" s="195"/>
      <c r="AF341" s="195"/>
      <c r="AG341" s="195"/>
      <c r="AH341" s="195"/>
      <c r="AI341" s="195"/>
      <c r="AJ341" s="195"/>
    </row>
    <row r="342" spans="1:36" s="31" customFormat="1">
      <c r="A342" s="55">
        <f>IF(F342&lt;&gt;"",1+MAX($A$2:A341),"")</f>
        <v>220</v>
      </c>
      <c r="B342" s="174"/>
      <c r="C342" s="60"/>
      <c r="D342" s="182" t="s">
        <v>317</v>
      </c>
      <c r="E342" s="183">
        <v>99.248120300751907</v>
      </c>
      <c r="F342" s="184">
        <v>0.05</v>
      </c>
      <c r="G342" s="185">
        <v>104.210526315789</v>
      </c>
      <c r="H342" s="186" t="s">
        <v>119</v>
      </c>
      <c r="I342" s="90">
        <v>1.7999999999999999E-2</v>
      </c>
      <c r="J342" s="91">
        <f t="shared" ref="J342" si="487">+I342*G342</f>
        <v>1.87578947368421</v>
      </c>
      <c r="K342" s="92">
        <f>'LABOR SHEET'!C$8</f>
        <v>36</v>
      </c>
      <c r="L342" s="93">
        <f t="shared" ref="L342" si="488">I342*K342</f>
        <v>0.64800000000000002</v>
      </c>
      <c r="M342" s="93">
        <f t="shared" ref="M342" si="489">K342*J342</f>
        <v>67.5284210526316</v>
      </c>
      <c r="N342" s="93">
        <v>1.4</v>
      </c>
      <c r="O342" s="93">
        <f t="shared" ref="O342" si="490">N342*G342</f>
        <v>145.894736842105</v>
      </c>
      <c r="P342" s="93">
        <f t="shared" ref="P342" si="491">(I342*K342)+N342</f>
        <v>2.048</v>
      </c>
      <c r="Q342" s="112">
        <f t="shared" ref="Q342" si="492">P342*G342</f>
        <v>213.42315789473699</v>
      </c>
      <c r="R342" s="195"/>
      <c r="S342" s="195"/>
      <c r="T342" s="195"/>
      <c r="U342" s="195"/>
      <c r="V342" s="195"/>
      <c r="W342" s="195"/>
      <c r="X342" s="195"/>
      <c r="Y342" s="195"/>
      <c r="Z342" s="195"/>
      <c r="AA342" s="195"/>
      <c r="AB342" s="195"/>
      <c r="AC342" s="195"/>
      <c r="AD342" s="195"/>
      <c r="AE342" s="195"/>
      <c r="AF342" s="195"/>
      <c r="AG342" s="195"/>
      <c r="AH342" s="195"/>
      <c r="AI342" s="195"/>
      <c r="AJ342" s="195"/>
    </row>
    <row r="343" spans="1:36" s="31" customFormat="1">
      <c r="A343" s="55">
        <f>IF(F343&lt;&gt;"",1+MAX($A$2:A342),"")</f>
        <v>221</v>
      </c>
      <c r="B343" s="174"/>
      <c r="C343" s="60"/>
      <c r="D343" s="182" t="s">
        <v>318</v>
      </c>
      <c r="E343" s="183">
        <v>99</v>
      </c>
      <c r="F343" s="184">
        <v>0.05</v>
      </c>
      <c r="G343" s="185">
        <v>103.95</v>
      </c>
      <c r="H343" s="186" t="s">
        <v>119</v>
      </c>
      <c r="I343" s="90">
        <v>1.7999999999999999E-2</v>
      </c>
      <c r="J343" s="91">
        <f t="shared" ref="J343" si="493">+I343*G343</f>
        <v>1.8711</v>
      </c>
      <c r="K343" s="92">
        <f>'LABOR SHEET'!C$8</f>
        <v>36</v>
      </c>
      <c r="L343" s="93">
        <f t="shared" ref="L343" si="494">I343*K343</f>
        <v>0.64800000000000002</v>
      </c>
      <c r="M343" s="93">
        <f t="shared" ref="M343" si="495">K343*J343</f>
        <v>67.3596</v>
      </c>
      <c r="N343" s="93">
        <v>1.4</v>
      </c>
      <c r="O343" s="93">
        <f t="shared" ref="O343" si="496">N343*G343</f>
        <v>145.53</v>
      </c>
      <c r="P343" s="93">
        <f t="shared" ref="P343" si="497">(I343*K343)+N343</f>
        <v>2.048</v>
      </c>
      <c r="Q343" s="112">
        <f t="shared" ref="Q343" si="498">P343*G343</f>
        <v>212.8896</v>
      </c>
      <c r="R343" s="195"/>
      <c r="S343" s="195"/>
      <c r="T343" s="195"/>
      <c r="U343" s="195"/>
      <c r="V343" s="195"/>
      <c r="W343" s="195"/>
      <c r="X343" s="195"/>
      <c r="Y343" s="195"/>
      <c r="Z343" s="195"/>
      <c r="AA343" s="195"/>
      <c r="AB343" s="195"/>
      <c r="AC343" s="195"/>
      <c r="AD343" s="195"/>
      <c r="AE343" s="195"/>
      <c r="AF343" s="195"/>
      <c r="AG343" s="195"/>
      <c r="AH343" s="195"/>
      <c r="AI343" s="195"/>
      <c r="AJ343" s="195"/>
    </row>
    <row r="344" spans="1:36" s="31" customFormat="1">
      <c r="A344" s="55">
        <f>IF(F344&lt;&gt;"",1+MAX($A$2:A343),"")</f>
        <v>222</v>
      </c>
      <c r="B344" s="174"/>
      <c r="C344" s="60"/>
      <c r="D344" s="182" t="s">
        <v>319</v>
      </c>
      <c r="E344" s="183">
        <v>33</v>
      </c>
      <c r="F344" s="184">
        <v>0.05</v>
      </c>
      <c r="G344" s="185">
        <v>34.65</v>
      </c>
      <c r="H344" s="186" t="s">
        <v>119</v>
      </c>
      <c r="I344" s="90">
        <v>1.7999999999999999E-2</v>
      </c>
      <c r="J344" s="91">
        <f t="shared" ref="J344" si="499">+I344*G344</f>
        <v>0.62370000000000003</v>
      </c>
      <c r="K344" s="92">
        <f>'LABOR SHEET'!C$8</f>
        <v>36</v>
      </c>
      <c r="L344" s="93">
        <f t="shared" ref="L344" si="500">I344*K344</f>
        <v>0.64800000000000002</v>
      </c>
      <c r="M344" s="93">
        <f t="shared" ref="M344" si="501">K344*J344</f>
        <v>22.453199999999999</v>
      </c>
      <c r="N344" s="93">
        <v>1.7</v>
      </c>
      <c r="O344" s="93">
        <f t="shared" ref="O344" si="502">N344*G344</f>
        <v>58.905000000000001</v>
      </c>
      <c r="P344" s="93">
        <f t="shared" ref="P344" si="503">(I344*K344)+N344</f>
        <v>2.3479999999999999</v>
      </c>
      <c r="Q344" s="112">
        <f t="shared" ref="Q344" si="504">P344*G344</f>
        <v>81.358199999999997</v>
      </c>
      <c r="R344" s="195"/>
      <c r="S344" s="195"/>
      <c r="T344" s="195"/>
      <c r="U344" s="195"/>
      <c r="V344" s="195"/>
      <c r="W344" s="195"/>
      <c r="X344" s="195"/>
      <c r="Y344" s="195"/>
      <c r="Z344" s="195"/>
      <c r="AA344" s="195"/>
      <c r="AB344" s="195"/>
      <c r="AC344" s="195"/>
      <c r="AD344" s="195"/>
      <c r="AE344" s="195"/>
      <c r="AF344" s="195"/>
      <c r="AG344" s="195"/>
      <c r="AH344" s="195"/>
      <c r="AI344" s="195"/>
      <c r="AJ344" s="195"/>
    </row>
    <row r="345" spans="1:36" s="31" customFormat="1">
      <c r="A345" s="55" t="str">
        <f>IF(F345&lt;&gt;"",1+MAX($A$2:A344),"")</f>
        <v/>
      </c>
      <c r="B345" s="174"/>
      <c r="C345" s="60"/>
      <c r="D345" s="155"/>
      <c r="E345" s="156"/>
      <c r="F345" s="124"/>
      <c r="G345" s="64"/>
      <c r="H345" s="150"/>
      <c r="I345" s="90"/>
      <c r="J345" s="91"/>
      <c r="K345" s="92"/>
      <c r="L345" s="93"/>
      <c r="M345" s="93"/>
      <c r="N345" s="93"/>
      <c r="O345" s="93"/>
      <c r="P345" s="93"/>
      <c r="Q345" s="112"/>
      <c r="R345" s="195"/>
      <c r="S345" s="195"/>
      <c r="T345" s="195"/>
      <c r="U345" s="195"/>
      <c r="V345" s="195"/>
      <c r="W345" s="195"/>
      <c r="X345" s="195"/>
      <c r="Y345" s="195"/>
      <c r="Z345" s="195"/>
      <c r="AA345" s="195"/>
      <c r="AB345" s="195"/>
      <c r="AC345" s="195"/>
      <c r="AD345" s="195"/>
      <c r="AE345" s="195"/>
      <c r="AF345" s="195"/>
      <c r="AG345" s="195"/>
      <c r="AH345" s="195"/>
      <c r="AI345" s="195"/>
      <c r="AJ345" s="195"/>
    </row>
    <row r="346" spans="1:36" s="31" customFormat="1">
      <c r="A346" s="55" t="str">
        <f>IF(F346&lt;&gt;"",1+MAX($A$2:A345),"")</f>
        <v/>
      </c>
      <c r="B346" s="174"/>
      <c r="C346" s="60"/>
      <c r="D346" s="187" t="s">
        <v>320</v>
      </c>
      <c r="E346" s="188"/>
      <c r="F346" s="189"/>
      <c r="G346" s="190"/>
      <c r="H346" s="191"/>
      <c r="I346" s="90"/>
      <c r="J346" s="91"/>
      <c r="K346" s="92"/>
      <c r="L346" s="93"/>
      <c r="M346" s="93"/>
      <c r="N346" s="93"/>
      <c r="O346" s="93"/>
      <c r="P346" s="93"/>
      <c r="Q346" s="111"/>
      <c r="R346" s="195"/>
      <c r="S346" s="195"/>
      <c r="T346" s="195"/>
      <c r="U346" s="195"/>
      <c r="V346" s="195"/>
      <c r="W346" s="195"/>
      <c r="X346" s="195"/>
      <c r="Y346" s="195"/>
      <c r="Z346" s="195"/>
      <c r="AA346" s="195"/>
      <c r="AB346" s="195"/>
      <c r="AC346" s="195"/>
      <c r="AD346" s="195"/>
      <c r="AE346" s="195"/>
      <c r="AF346" s="195"/>
      <c r="AG346" s="195"/>
      <c r="AH346" s="195"/>
      <c r="AI346" s="195"/>
      <c r="AJ346" s="195"/>
    </row>
    <row r="347" spans="1:36" s="31" customFormat="1">
      <c r="A347" s="55">
        <f>IF(F347&lt;&gt;"",1+MAX($A$2:A346),"")</f>
        <v>223</v>
      </c>
      <c r="B347" s="174"/>
      <c r="C347" s="60"/>
      <c r="D347" s="192" t="s">
        <v>321</v>
      </c>
      <c r="E347" s="156">
        <v>12471</v>
      </c>
      <c r="F347" s="124">
        <v>0.1</v>
      </c>
      <c r="G347" s="64">
        <f t="shared" ref="G347:G372" si="505">(F347*E347)+E347</f>
        <v>13718.1</v>
      </c>
      <c r="H347" s="150" t="s">
        <v>67</v>
      </c>
      <c r="I347" s="90">
        <v>1.6E-2</v>
      </c>
      <c r="J347" s="91">
        <f t="shared" ref="J347" si="506">+I347*G347</f>
        <v>219.4896</v>
      </c>
      <c r="K347" s="92">
        <f>'LABOR SHEET'!C$8</f>
        <v>36</v>
      </c>
      <c r="L347" s="93">
        <f t="shared" ref="L347" si="507">I347*K347</f>
        <v>0.57599999999999996</v>
      </c>
      <c r="M347" s="93">
        <f t="shared" ref="M347" si="508">K347*J347</f>
        <v>7901.6256000000003</v>
      </c>
      <c r="N347" s="93">
        <f>25.29/32</f>
        <v>0.79031249999999997</v>
      </c>
      <c r="O347" s="93">
        <f t="shared" ref="O347" si="509">N347*G347</f>
        <v>10841.58590625</v>
      </c>
      <c r="P347" s="93">
        <f t="shared" ref="P347" si="510">(I347*K347)+N347</f>
        <v>1.3663125</v>
      </c>
      <c r="Q347" s="112">
        <f t="shared" ref="Q347" si="511">P347*G347</f>
        <v>18743.211506250002</v>
      </c>
      <c r="R347" s="195"/>
      <c r="S347" s="195"/>
      <c r="T347" s="195"/>
      <c r="U347" s="195"/>
      <c r="V347" s="195"/>
      <c r="W347" s="195"/>
      <c r="X347" s="195"/>
      <c r="Y347" s="195"/>
      <c r="Z347" s="195"/>
      <c r="AA347" s="195"/>
      <c r="AB347" s="195"/>
      <c r="AC347" s="195"/>
      <c r="AD347" s="195"/>
      <c r="AE347" s="195"/>
      <c r="AF347" s="195"/>
      <c r="AG347" s="195"/>
      <c r="AH347" s="195"/>
      <c r="AI347" s="195"/>
      <c r="AJ347" s="195"/>
    </row>
    <row r="348" spans="1:36" s="31" customFormat="1">
      <c r="A348" s="55">
        <f>IF(F348&lt;&gt;"",1+MAX($A$2:A347),"")</f>
        <v>224</v>
      </c>
      <c r="B348" s="174"/>
      <c r="C348" s="60"/>
      <c r="D348" s="147" t="s">
        <v>187</v>
      </c>
      <c r="E348" s="148">
        <f>ROUNDUP(E347/32,0)</f>
        <v>390</v>
      </c>
      <c r="F348" s="124">
        <v>0</v>
      </c>
      <c r="G348" s="64">
        <f t="shared" si="505"/>
        <v>390</v>
      </c>
      <c r="H348" s="125" t="s">
        <v>124</v>
      </c>
      <c r="I348" s="90"/>
      <c r="J348" s="91"/>
      <c r="K348" s="92"/>
      <c r="L348" s="93"/>
      <c r="M348" s="93"/>
      <c r="N348" s="93"/>
      <c r="O348" s="93"/>
      <c r="P348" s="93"/>
      <c r="Q348" s="112"/>
      <c r="R348" s="195"/>
      <c r="S348" s="195"/>
      <c r="T348" s="195"/>
      <c r="U348" s="195"/>
      <c r="V348" s="195"/>
      <c r="W348" s="195"/>
      <c r="X348" s="195"/>
      <c r="Y348" s="195"/>
      <c r="Z348" s="195"/>
      <c r="AA348" s="195"/>
      <c r="AB348" s="195"/>
      <c r="AC348" s="195"/>
      <c r="AD348" s="195"/>
      <c r="AE348" s="195"/>
      <c r="AF348" s="195"/>
      <c r="AG348" s="195"/>
      <c r="AH348" s="195"/>
      <c r="AI348" s="195"/>
      <c r="AJ348" s="195"/>
    </row>
    <row r="349" spans="1:36" s="31" customFormat="1">
      <c r="A349" s="55">
        <f>IF(F349&lt;&gt;"",1+MAX($A$2:A348),"")</f>
        <v>225</v>
      </c>
      <c r="B349" s="174"/>
      <c r="C349" s="60"/>
      <c r="D349" s="149" t="s">
        <v>185</v>
      </c>
      <c r="E349" s="148">
        <f>E348*93</f>
        <v>36270</v>
      </c>
      <c r="F349" s="124">
        <v>0</v>
      </c>
      <c r="G349" s="64">
        <f t="shared" si="505"/>
        <v>36270</v>
      </c>
      <c r="H349" s="125" t="s">
        <v>124</v>
      </c>
      <c r="I349" s="90">
        <v>3.0000000000000001E-3</v>
      </c>
      <c r="J349" s="91">
        <f t="shared" ref="J349:J371" si="512">+I349*G349</f>
        <v>108.81</v>
      </c>
      <c r="K349" s="92">
        <f>'LABOR SHEET'!C$8</f>
        <v>36</v>
      </c>
      <c r="L349" s="93">
        <f t="shared" ref="L349:L371" si="513">I349*K349</f>
        <v>0.108</v>
      </c>
      <c r="M349" s="93">
        <f t="shared" ref="M349:M371" si="514">K349*J349</f>
        <v>3917.16</v>
      </c>
      <c r="N349" s="151">
        <v>0.04</v>
      </c>
      <c r="O349" s="93">
        <f t="shared" ref="O349:O371" si="515">N349*G349</f>
        <v>1450.8</v>
      </c>
      <c r="P349" s="93">
        <f t="shared" ref="P349:P371" si="516">(I349*K349)+N349</f>
        <v>0.14799999999999999</v>
      </c>
      <c r="Q349" s="112">
        <f t="shared" ref="Q349:Q371" si="517">P349*G349</f>
        <v>5367.96</v>
      </c>
      <c r="R349" s="195"/>
      <c r="S349" s="195"/>
      <c r="T349" s="195"/>
      <c r="U349" s="195"/>
      <c r="V349" s="195"/>
      <c r="W349" s="195"/>
      <c r="X349" s="195"/>
      <c r="Y349" s="195"/>
      <c r="Z349" s="195"/>
      <c r="AA349" s="195"/>
      <c r="AB349" s="195"/>
      <c r="AC349" s="195"/>
      <c r="AD349" s="195"/>
      <c r="AE349" s="195"/>
      <c r="AF349" s="195"/>
      <c r="AG349" s="195"/>
      <c r="AH349" s="195"/>
      <c r="AI349" s="195"/>
      <c r="AJ349" s="195"/>
    </row>
    <row r="350" spans="1:36" s="31" customFormat="1">
      <c r="A350" s="55">
        <f>IF(F350&lt;&gt;"",1+MAX($A$2:A349),"")</f>
        <v>226</v>
      </c>
      <c r="B350" s="174"/>
      <c r="C350" s="60"/>
      <c r="D350" s="192" t="s">
        <v>322</v>
      </c>
      <c r="E350" s="156">
        <v>6888.375</v>
      </c>
      <c r="F350" s="124">
        <v>0.1</v>
      </c>
      <c r="G350" s="64">
        <f t="shared" si="505"/>
        <v>7577.2124999999996</v>
      </c>
      <c r="H350" s="150" t="s">
        <v>67</v>
      </c>
      <c r="I350" s="90">
        <v>1.7000000000000001E-2</v>
      </c>
      <c r="J350" s="91">
        <f t="shared" si="512"/>
        <v>128.8126125</v>
      </c>
      <c r="K350" s="92">
        <f>'LABOR SHEET'!C$8</f>
        <v>36</v>
      </c>
      <c r="L350" s="93">
        <f t="shared" si="513"/>
        <v>0.61199999999999999</v>
      </c>
      <c r="M350" s="93">
        <f t="shared" si="514"/>
        <v>4637.2540499999996</v>
      </c>
      <c r="N350" s="93">
        <v>0.495</v>
      </c>
      <c r="O350" s="93">
        <f t="shared" si="515"/>
        <v>3750.7201875000001</v>
      </c>
      <c r="P350" s="93">
        <f t="shared" si="516"/>
        <v>1.107</v>
      </c>
      <c r="Q350" s="112">
        <f t="shared" si="517"/>
        <v>8387.9742375000005</v>
      </c>
      <c r="R350" s="195"/>
      <c r="S350" s="195"/>
      <c r="T350" s="195"/>
      <c r="U350" s="195"/>
      <c r="V350" s="195"/>
      <c r="W350" s="195"/>
      <c r="X350" s="195"/>
      <c r="Y350" s="195"/>
      <c r="Z350" s="195"/>
      <c r="AA350" s="195"/>
      <c r="AB350" s="195"/>
      <c r="AC350" s="195"/>
      <c r="AD350" s="195"/>
      <c r="AE350" s="195"/>
      <c r="AF350" s="195"/>
      <c r="AG350" s="195"/>
      <c r="AH350" s="195"/>
      <c r="AI350" s="195"/>
      <c r="AJ350" s="195"/>
    </row>
    <row r="351" spans="1:36" s="31" customFormat="1">
      <c r="A351" s="55">
        <f>IF(F351&lt;&gt;"",1+MAX($A$2:A350),"")</f>
        <v>227</v>
      </c>
      <c r="B351" s="174"/>
      <c r="C351" s="60"/>
      <c r="D351" s="147" t="s">
        <v>187</v>
      </c>
      <c r="E351" s="148">
        <f>ROUNDUP(E350/32,0)</f>
        <v>216</v>
      </c>
      <c r="F351" s="124">
        <v>0</v>
      </c>
      <c r="G351" s="64">
        <f t="shared" si="505"/>
        <v>216</v>
      </c>
      <c r="H351" s="125" t="s">
        <v>124</v>
      </c>
      <c r="I351" s="90"/>
      <c r="J351" s="91"/>
      <c r="K351" s="92"/>
      <c r="L351" s="93"/>
      <c r="M351" s="93"/>
      <c r="N351" s="93"/>
      <c r="O351" s="93"/>
      <c r="P351" s="93"/>
      <c r="Q351" s="112"/>
      <c r="R351" s="195"/>
      <c r="S351" s="195"/>
      <c r="T351" s="195"/>
      <c r="U351" s="195"/>
      <c r="V351" s="195"/>
      <c r="W351" s="195"/>
      <c r="X351" s="195"/>
      <c r="Y351" s="195"/>
      <c r="Z351" s="195"/>
      <c r="AA351" s="195"/>
      <c r="AB351" s="195"/>
      <c r="AC351" s="195"/>
      <c r="AD351" s="195"/>
      <c r="AE351" s="195"/>
      <c r="AF351" s="195"/>
      <c r="AG351" s="195"/>
      <c r="AH351" s="195"/>
      <c r="AI351" s="195"/>
      <c r="AJ351" s="195"/>
    </row>
    <row r="352" spans="1:36" s="31" customFormat="1">
      <c r="A352" s="55">
        <f>IF(F352&lt;&gt;"",1+MAX($A$2:A351),"")</f>
        <v>228</v>
      </c>
      <c r="B352" s="174"/>
      <c r="C352" s="60"/>
      <c r="D352" s="147" t="s">
        <v>323</v>
      </c>
      <c r="E352" s="148">
        <f>ROUNDUP(E350*1.33,0)</f>
        <v>9162</v>
      </c>
      <c r="F352" s="124">
        <v>0</v>
      </c>
      <c r="G352" s="64">
        <f t="shared" si="505"/>
        <v>9162</v>
      </c>
      <c r="H352" s="125" t="s">
        <v>124</v>
      </c>
      <c r="I352" s="90">
        <v>2E-3</v>
      </c>
      <c r="J352" s="91">
        <f t="shared" si="512"/>
        <v>18.324000000000002</v>
      </c>
      <c r="K352" s="92">
        <f>'LABOR SHEET'!C$8</f>
        <v>36</v>
      </c>
      <c r="L352" s="93">
        <f t="shared" si="513"/>
        <v>7.1999999999999995E-2</v>
      </c>
      <c r="M352" s="93">
        <f t="shared" si="514"/>
        <v>659.66399999999999</v>
      </c>
      <c r="N352" s="151">
        <v>0.06</v>
      </c>
      <c r="O352" s="93">
        <f t="shared" si="515"/>
        <v>549.72</v>
      </c>
      <c r="P352" s="93">
        <f t="shared" si="516"/>
        <v>0.13200000000000001</v>
      </c>
      <c r="Q352" s="112">
        <f t="shared" si="517"/>
        <v>1209.384</v>
      </c>
      <c r="R352" s="195"/>
      <c r="S352" s="195"/>
      <c r="T352" s="195"/>
      <c r="U352" s="195"/>
      <c r="V352" s="195"/>
      <c r="W352" s="195"/>
      <c r="X352" s="195"/>
      <c r="Y352" s="195"/>
      <c r="Z352" s="195"/>
      <c r="AA352" s="195"/>
      <c r="AB352" s="195"/>
      <c r="AC352" s="195"/>
      <c r="AD352" s="195"/>
      <c r="AE352" s="195"/>
      <c r="AF352" s="195"/>
      <c r="AG352" s="195"/>
      <c r="AH352" s="195"/>
      <c r="AI352" s="195"/>
      <c r="AJ352" s="195"/>
    </row>
    <row r="353" spans="1:36" s="31" customFormat="1">
      <c r="A353" s="55">
        <f>IF(F353&lt;&gt;"",1+MAX($A$2:A352),"")</f>
        <v>229</v>
      </c>
      <c r="B353" s="174"/>
      <c r="C353" s="60"/>
      <c r="D353" s="147" t="s">
        <v>324</v>
      </c>
      <c r="E353" s="148">
        <f>ROUNDUP(E351*16,0)</f>
        <v>3456</v>
      </c>
      <c r="F353" s="124">
        <v>0.05</v>
      </c>
      <c r="G353" s="64">
        <f t="shared" si="505"/>
        <v>3628.8</v>
      </c>
      <c r="H353" s="125" t="s">
        <v>119</v>
      </c>
      <c r="I353" s="90">
        <v>1.0999999999999999E-2</v>
      </c>
      <c r="J353" s="91">
        <f t="shared" si="512"/>
        <v>39.916800000000002</v>
      </c>
      <c r="K353" s="92">
        <f>'LABOR SHEET'!C$8</f>
        <v>36</v>
      </c>
      <c r="L353" s="93">
        <f t="shared" si="513"/>
        <v>0.39600000000000002</v>
      </c>
      <c r="M353" s="93">
        <f t="shared" si="514"/>
        <v>1437.0047999999999</v>
      </c>
      <c r="N353" s="151">
        <v>0.03</v>
      </c>
      <c r="O353" s="93">
        <f t="shared" si="515"/>
        <v>108.864</v>
      </c>
      <c r="P353" s="93">
        <f t="shared" si="516"/>
        <v>0.42599999999999999</v>
      </c>
      <c r="Q353" s="112">
        <f t="shared" si="517"/>
        <v>1545.8688</v>
      </c>
      <c r="R353" s="195"/>
      <c r="S353" s="195"/>
      <c r="T353" s="195"/>
      <c r="U353" s="195"/>
      <c r="V353" s="195"/>
      <c r="W353" s="195"/>
      <c r="X353" s="195"/>
      <c r="Y353" s="195"/>
      <c r="Z353" s="195"/>
      <c r="AA353" s="195"/>
      <c r="AB353" s="195"/>
      <c r="AC353" s="195"/>
      <c r="AD353" s="195"/>
      <c r="AE353" s="195"/>
      <c r="AF353" s="195"/>
      <c r="AG353" s="195"/>
      <c r="AH353" s="195"/>
      <c r="AI353" s="195"/>
      <c r="AJ353" s="195"/>
    </row>
    <row r="354" spans="1:36" s="31" customFormat="1">
      <c r="A354" s="55">
        <f>IF(F354&lt;&gt;"",1+MAX($A$2:A353),"")</f>
        <v>230</v>
      </c>
      <c r="B354" s="174"/>
      <c r="C354" s="60"/>
      <c r="D354" s="147" t="s">
        <v>325</v>
      </c>
      <c r="E354" s="148">
        <f>E350*0.084</f>
        <v>578.62350000000004</v>
      </c>
      <c r="F354" s="59">
        <v>0.05</v>
      </c>
      <c r="G354" s="64">
        <f t="shared" si="505"/>
        <v>607.55467499999997</v>
      </c>
      <c r="H354" s="125" t="s">
        <v>326</v>
      </c>
      <c r="I354" s="90">
        <v>0.11</v>
      </c>
      <c r="J354" s="91">
        <f t="shared" si="512"/>
        <v>66.831014249999996</v>
      </c>
      <c r="K354" s="92">
        <f>'LABOR SHEET'!C$8</f>
        <v>36</v>
      </c>
      <c r="L354" s="93">
        <f t="shared" si="513"/>
        <v>3.96</v>
      </c>
      <c r="M354" s="93">
        <f t="shared" si="514"/>
        <v>2405.9165130000001</v>
      </c>
      <c r="N354" s="93">
        <v>0.5</v>
      </c>
      <c r="O354" s="93">
        <f t="shared" si="515"/>
        <v>303.77733749999999</v>
      </c>
      <c r="P354" s="93">
        <f t="shared" si="516"/>
        <v>4.46</v>
      </c>
      <c r="Q354" s="112">
        <f t="shared" si="517"/>
        <v>2709.6938504999998</v>
      </c>
      <c r="R354" s="195"/>
      <c r="S354" s="195"/>
      <c r="T354" s="195"/>
      <c r="U354" s="195"/>
      <c r="V354" s="195"/>
      <c r="W354" s="195"/>
      <c r="X354" s="195"/>
      <c r="Y354" s="195"/>
      <c r="Z354" s="195"/>
      <c r="AA354" s="195"/>
      <c r="AB354" s="195"/>
      <c r="AC354" s="195"/>
      <c r="AD354" s="195"/>
      <c r="AE354" s="195"/>
      <c r="AF354" s="195"/>
      <c r="AG354" s="195"/>
      <c r="AH354" s="195"/>
      <c r="AI354" s="195"/>
      <c r="AJ354" s="195"/>
    </row>
    <row r="355" spans="1:36" s="31" customFormat="1">
      <c r="A355" s="55">
        <f>IF(F355&lt;&gt;"",1+MAX($A$2:A354),"")</f>
        <v>231</v>
      </c>
      <c r="B355" s="174"/>
      <c r="C355" s="60"/>
      <c r="D355" s="192" t="s">
        <v>327</v>
      </c>
      <c r="E355" s="148">
        <v>3393</v>
      </c>
      <c r="F355" s="124">
        <v>0.1</v>
      </c>
      <c r="G355" s="64">
        <f t="shared" si="505"/>
        <v>3732.3</v>
      </c>
      <c r="H355" s="150" t="s">
        <v>67</v>
      </c>
      <c r="I355" s="90">
        <v>1.7999999999999999E-2</v>
      </c>
      <c r="J355" s="91">
        <f t="shared" si="512"/>
        <v>67.181399999999996</v>
      </c>
      <c r="K355" s="92">
        <f>'LABOR SHEET'!C$8</f>
        <v>36</v>
      </c>
      <c r="L355" s="93">
        <f t="shared" si="513"/>
        <v>0.64800000000000002</v>
      </c>
      <c r="M355" s="93">
        <f t="shared" si="514"/>
        <v>2418.5304000000001</v>
      </c>
      <c r="N355" s="93">
        <v>0.56000000000000005</v>
      </c>
      <c r="O355" s="93">
        <f t="shared" si="515"/>
        <v>2090.0880000000002</v>
      </c>
      <c r="P355" s="93">
        <f t="shared" si="516"/>
        <v>1.208</v>
      </c>
      <c r="Q355" s="112">
        <f t="shared" si="517"/>
        <v>4508.6184000000003</v>
      </c>
      <c r="R355" s="195"/>
      <c r="S355" s="195"/>
      <c r="T355" s="195"/>
      <c r="U355" s="195"/>
      <c r="V355" s="195"/>
      <c r="W355" s="195"/>
      <c r="X355" s="195"/>
      <c r="Y355" s="195"/>
      <c r="Z355" s="195"/>
      <c r="AA355" s="195"/>
      <c r="AB355" s="195"/>
      <c r="AC355" s="195"/>
      <c r="AD355" s="195"/>
      <c r="AE355" s="195"/>
      <c r="AF355" s="195"/>
      <c r="AG355" s="195"/>
      <c r="AH355" s="195"/>
      <c r="AI355" s="195"/>
      <c r="AJ355" s="195"/>
    </row>
    <row r="356" spans="1:36" s="31" customFormat="1">
      <c r="A356" s="55">
        <f>IF(F356&lt;&gt;"",1+MAX($A$2:A355),"")</f>
        <v>232</v>
      </c>
      <c r="B356" s="174"/>
      <c r="C356" s="60"/>
      <c r="D356" s="147" t="s">
        <v>187</v>
      </c>
      <c r="E356" s="148">
        <f>ROUNDUP(E355/32,0)</f>
        <v>107</v>
      </c>
      <c r="F356" s="124">
        <v>0</v>
      </c>
      <c r="G356" s="64">
        <f t="shared" si="505"/>
        <v>107</v>
      </c>
      <c r="H356" s="125" t="s">
        <v>124</v>
      </c>
      <c r="I356" s="90"/>
      <c r="J356" s="91"/>
      <c r="K356" s="92"/>
      <c r="L356" s="93"/>
      <c r="M356" s="93"/>
      <c r="N356" s="93"/>
      <c r="O356" s="93"/>
      <c r="P356" s="93"/>
      <c r="Q356" s="112"/>
      <c r="R356" s="195"/>
      <c r="S356" s="195"/>
      <c r="T356" s="195"/>
      <c r="U356" s="195"/>
      <c r="V356" s="195"/>
      <c r="W356" s="195"/>
      <c r="X356" s="195"/>
      <c r="Y356" s="195"/>
      <c r="Z356" s="195"/>
      <c r="AA356" s="195"/>
      <c r="AB356" s="195"/>
      <c r="AC356" s="195"/>
      <c r="AD356" s="195"/>
      <c r="AE356" s="195"/>
      <c r="AF356" s="195"/>
      <c r="AG356" s="195"/>
      <c r="AH356" s="195"/>
      <c r="AI356" s="195"/>
      <c r="AJ356" s="195"/>
    </row>
    <row r="357" spans="1:36" s="31" customFormat="1">
      <c r="A357" s="55">
        <f>IF(F357&lt;&gt;"",1+MAX($A$2:A356),"")</f>
        <v>233</v>
      </c>
      <c r="B357" s="174"/>
      <c r="C357" s="60"/>
      <c r="D357" s="147" t="s">
        <v>323</v>
      </c>
      <c r="E357" s="148">
        <f>ROUNDUP(E355*1.33,0)</f>
        <v>4513</v>
      </c>
      <c r="F357" s="124">
        <v>0</v>
      </c>
      <c r="G357" s="64">
        <f t="shared" si="505"/>
        <v>4513</v>
      </c>
      <c r="H357" s="125" t="s">
        <v>124</v>
      </c>
      <c r="I357" s="90">
        <v>2E-3</v>
      </c>
      <c r="J357" s="91">
        <f t="shared" ref="J357:J359" si="518">+I357*G357</f>
        <v>9.0259999999999998</v>
      </c>
      <c r="K357" s="92">
        <f>'LABOR SHEET'!C$8</f>
        <v>36</v>
      </c>
      <c r="L357" s="93">
        <f t="shared" ref="L357:L359" si="519">I357*K357</f>
        <v>7.1999999999999995E-2</v>
      </c>
      <c r="M357" s="93">
        <f t="shared" ref="M357:M359" si="520">K357*J357</f>
        <v>324.93599999999998</v>
      </c>
      <c r="N357" s="151">
        <v>0.06</v>
      </c>
      <c r="O357" s="93">
        <f t="shared" ref="O357:O359" si="521">N357*G357</f>
        <v>270.77999999999997</v>
      </c>
      <c r="P357" s="93">
        <f t="shared" ref="P357:P359" si="522">(I357*K357)+N357</f>
        <v>0.13200000000000001</v>
      </c>
      <c r="Q357" s="112">
        <f t="shared" ref="Q357:Q359" si="523">P357*G357</f>
        <v>595.71600000000001</v>
      </c>
      <c r="R357" s="195"/>
      <c r="S357" s="195"/>
      <c r="T357" s="195"/>
      <c r="U357" s="195"/>
      <c r="V357" s="195"/>
      <c r="W357" s="195"/>
      <c r="X357" s="195"/>
      <c r="Y357" s="195"/>
      <c r="Z357" s="195"/>
      <c r="AA357" s="195"/>
      <c r="AB357" s="195"/>
      <c r="AC357" s="195"/>
      <c r="AD357" s="195"/>
      <c r="AE357" s="195"/>
      <c r="AF357" s="195"/>
      <c r="AG357" s="195"/>
      <c r="AH357" s="195"/>
      <c r="AI357" s="195"/>
      <c r="AJ357" s="195"/>
    </row>
    <row r="358" spans="1:36" s="31" customFormat="1">
      <c r="A358" s="55">
        <f>IF(F358&lt;&gt;"",1+MAX($A$2:A357),"")</f>
        <v>234</v>
      </c>
      <c r="B358" s="174"/>
      <c r="C358" s="60"/>
      <c r="D358" s="147" t="s">
        <v>324</v>
      </c>
      <c r="E358" s="148">
        <f>ROUNDUP(E356*16,0)</f>
        <v>1712</v>
      </c>
      <c r="F358" s="124">
        <v>0.05</v>
      </c>
      <c r="G358" s="64">
        <f t="shared" si="505"/>
        <v>1797.6</v>
      </c>
      <c r="H358" s="125" t="s">
        <v>119</v>
      </c>
      <c r="I358" s="90">
        <v>1.0999999999999999E-2</v>
      </c>
      <c r="J358" s="91">
        <f t="shared" si="518"/>
        <v>19.773599999999998</v>
      </c>
      <c r="K358" s="92">
        <f>'LABOR SHEET'!C$8</f>
        <v>36</v>
      </c>
      <c r="L358" s="93">
        <f t="shared" si="519"/>
        <v>0.39600000000000002</v>
      </c>
      <c r="M358" s="93">
        <f t="shared" si="520"/>
        <v>711.84960000000001</v>
      </c>
      <c r="N358" s="151">
        <v>0.03</v>
      </c>
      <c r="O358" s="93">
        <f t="shared" si="521"/>
        <v>53.927999999999997</v>
      </c>
      <c r="P358" s="93">
        <f t="shared" si="522"/>
        <v>0.42599999999999999</v>
      </c>
      <c r="Q358" s="112">
        <f t="shared" si="523"/>
        <v>765.77760000000001</v>
      </c>
      <c r="R358" s="195"/>
      <c r="S358" s="195"/>
      <c r="T358" s="195"/>
      <c r="U358" s="195"/>
      <c r="V358" s="195"/>
      <c r="W358" s="195"/>
      <c r="X358" s="195"/>
      <c r="Y358" s="195"/>
      <c r="Z358" s="195"/>
      <c r="AA358" s="195"/>
      <c r="AB358" s="195"/>
      <c r="AC358" s="195"/>
      <c r="AD358" s="195"/>
      <c r="AE358" s="195"/>
      <c r="AF358" s="195"/>
      <c r="AG358" s="195"/>
      <c r="AH358" s="195"/>
      <c r="AI358" s="195"/>
      <c r="AJ358" s="195"/>
    </row>
    <row r="359" spans="1:36" s="31" customFormat="1">
      <c r="A359" s="55">
        <f>IF(F359&lt;&gt;"",1+MAX($A$2:A358),"")</f>
        <v>235</v>
      </c>
      <c r="B359" s="174"/>
      <c r="C359" s="60"/>
      <c r="D359" s="147" t="s">
        <v>325</v>
      </c>
      <c r="E359" s="148">
        <f>E355*0.084</f>
        <v>285.012</v>
      </c>
      <c r="F359" s="59">
        <v>0.05</v>
      </c>
      <c r="G359" s="64">
        <f t="shared" si="505"/>
        <v>299.26260000000002</v>
      </c>
      <c r="H359" s="125" t="s">
        <v>326</v>
      </c>
      <c r="I359" s="90">
        <v>0.11</v>
      </c>
      <c r="J359" s="91">
        <f t="shared" si="518"/>
        <v>32.918886000000001</v>
      </c>
      <c r="K359" s="92">
        <f>'LABOR SHEET'!C$8</f>
        <v>36</v>
      </c>
      <c r="L359" s="93">
        <f t="shared" si="519"/>
        <v>3.96</v>
      </c>
      <c r="M359" s="93">
        <f t="shared" si="520"/>
        <v>1185.079896</v>
      </c>
      <c r="N359" s="93">
        <v>0.5</v>
      </c>
      <c r="O359" s="93">
        <f t="shared" si="521"/>
        <v>149.63130000000001</v>
      </c>
      <c r="P359" s="93">
        <f t="shared" si="522"/>
        <v>4.46</v>
      </c>
      <c r="Q359" s="112">
        <f t="shared" si="523"/>
        <v>1334.711196</v>
      </c>
      <c r="R359" s="195"/>
      <c r="S359" s="195"/>
      <c r="T359" s="195"/>
      <c r="U359" s="195"/>
      <c r="V359" s="195"/>
      <c r="W359" s="195"/>
      <c r="X359" s="195"/>
      <c r="Y359" s="195"/>
      <c r="Z359" s="195"/>
      <c r="AA359" s="195"/>
      <c r="AB359" s="195"/>
      <c r="AC359" s="195"/>
      <c r="AD359" s="195"/>
      <c r="AE359" s="195"/>
      <c r="AF359" s="195"/>
      <c r="AG359" s="195"/>
      <c r="AH359" s="195"/>
      <c r="AI359" s="195"/>
      <c r="AJ359" s="195"/>
    </row>
    <row r="360" spans="1:36" s="31" customFormat="1">
      <c r="A360" s="55">
        <f>IF(F360&lt;&gt;"",1+MAX($A$2:A359),"")</f>
        <v>236</v>
      </c>
      <c r="B360" s="174"/>
      <c r="C360" s="60"/>
      <c r="D360" s="192" t="s">
        <v>328</v>
      </c>
      <c r="E360" s="156">
        <v>1246.125</v>
      </c>
      <c r="F360" s="124">
        <v>0.1</v>
      </c>
      <c r="G360" s="64">
        <f t="shared" si="505"/>
        <v>1370.7375</v>
      </c>
      <c r="H360" s="150" t="s">
        <v>67</v>
      </c>
      <c r="I360" s="90">
        <v>1.9E-2</v>
      </c>
      <c r="J360" s="91">
        <f t="shared" si="512"/>
        <v>26.044012500000001</v>
      </c>
      <c r="K360" s="92">
        <f>'LABOR SHEET'!C$8</f>
        <v>36</v>
      </c>
      <c r="L360" s="93">
        <f t="shared" si="513"/>
        <v>0.68400000000000005</v>
      </c>
      <c r="M360" s="93">
        <f t="shared" si="514"/>
        <v>937.58444999999995</v>
      </c>
      <c r="N360" s="93">
        <v>0.74</v>
      </c>
      <c r="O360" s="93">
        <f t="shared" si="515"/>
        <v>1014.34575</v>
      </c>
      <c r="P360" s="93">
        <f t="shared" si="516"/>
        <v>1.4239999999999999</v>
      </c>
      <c r="Q360" s="112">
        <f t="shared" si="517"/>
        <v>1951.9302</v>
      </c>
      <c r="R360" s="195"/>
      <c r="S360" s="195"/>
      <c r="T360" s="195"/>
      <c r="U360" s="195"/>
      <c r="V360" s="195"/>
      <c r="W360" s="195"/>
      <c r="X360" s="195"/>
      <c r="Y360" s="195"/>
      <c r="Z360" s="195"/>
      <c r="AA360" s="195"/>
      <c r="AB360" s="195"/>
      <c r="AC360" s="195"/>
      <c r="AD360" s="195"/>
      <c r="AE360" s="195"/>
      <c r="AF360" s="195"/>
      <c r="AG360" s="195"/>
      <c r="AH360" s="195"/>
      <c r="AI360" s="195"/>
      <c r="AJ360" s="195"/>
    </row>
    <row r="361" spans="1:36" s="31" customFormat="1">
      <c r="A361" s="55">
        <f>IF(F361&lt;&gt;"",1+MAX($A$2:A360),"")</f>
        <v>237</v>
      </c>
      <c r="B361" s="174"/>
      <c r="C361" s="60"/>
      <c r="D361" s="147" t="s">
        <v>187</v>
      </c>
      <c r="E361" s="148">
        <f>ROUNDUP(E360/32,0)</f>
        <v>39</v>
      </c>
      <c r="F361" s="124">
        <v>0</v>
      </c>
      <c r="G361" s="64">
        <f t="shared" si="505"/>
        <v>39</v>
      </c>
      <c r="H361" s="125" t="s">
        <v>124</v>
      </c>
      <c r="I361" s="90"/>
      <c r="J361" s="91"/>
      <c r="K361" s="92"/>
      <c r="L361" s="93"/>
      <c r="M361" s="93"/>
      <c r="N361" s="93"/>
      <c r="O361" s="93"/>
      <c r="P361" s="93"/>
      <c r="Q361" s="112"/>
      <c r="R361" s="195"/>
      <c r="S361" s="195"/>
      <c r="T361" s="195"/>
      <c r="U361" s="195"/>
      <c r="V361" s="195"/>
      <c r="W361" s="195"/>
      <c r="X361" s="195"/>
      <c r="Y361" s="195"/>
      <c r="Z361" s="195"/>
      <c r="AA361" s="195"/>
      <c r="AB361" s="195"/>
      <c r="AC361" s="195"/>
      <c r="AD361" s="195"/>
      <c r="AE361" s="195"/>
      <c r="AF361" s="195"/>
      <c r="AG361" s="195"/>
      <c r="AH361" s="195"/>
      <c r="AI361" s="195"/>
      <c r="AJ361" s="195"/>
    </row>
    <row r="362" spans="1:36" s="31" customFormat="1">
      <c r="A362" s="55">
        <f>IF(F362&lt;&gt;"",1+MAX($A$2:A361),"")</f>
        <v>238</v>
      </c>
      <c r="B362" s="174"/>
      <c r="C362" s="60"/>
      <c r="D362" s="147" t="s">
        <v>323</v>
      </c>
      <c r="E362" s="148">
        <f>ROUNDUP(E360*1.33,0)</f>
        <v>1658</v>
      </c>
      <c r="F362" s="124">
        <v>0</v>
      </c>
      <c r="G362" s="64">
        <f t="shared" si="505"/>
        <v>1658</v>
      </c>
      <c r="H362" s="125" t="s">
        <v>124</v>
      </c>
      <c r="I362" s="90">
        <v>2E-3</v>
      </c>
      <c r="J362" s="91">
        <f t="shared" ref="J362:J364" si="524">+I362*G362</f>
        <v>3.3159999999999998</v>
      </c>
      <c r="K362" s="92">
        <f>'LABOR SHEET'!C$8</f>
        <v>36</v>
      </c>
      <c r="L362" s="93">
        <f t="shared" ref="L362:L364" si="525">I362*K362</f>
        <v>7.1999999999999995E-2</v>
      </c>
      <c r="M362" s="93">
        <f t="shared" ref="M362:M364" si="526">K362*J362</f>
        <v>119.376</v>
      </c>
      <c r="N362" s="151">
        <v>0.06</v>
      </c>
      <c r="O362" s="93">
        <f t="shared" ref="O362:O364" si="527">N362*G362</f>
        <v>99.48</v>
      </c>
      <c r="P362" s="93">
        <f t="shared" ref="P362:P364" si="528">(I362*K362)+N362</f>
        <v>0.13200000000000001</v>
      </c>
      <c r="Q362" s="112">
        <f t="shared" ref="Q362:Q364" si="529">P362*G362</f>
        <v>218.85599999999999</v>
      </c>
      <c r="R362" s="195"/>
      <c r="S362" s="195"/>
      <c r="T362" s="195"/>
      <c r="U362" s="195"/>
      <c r="V362" s="195"/>
      <c r="W362" s="195"/>
      <c r="X362" s="195"/>
      <c r="Y362" s="195"/>
      <c r="Z362" s="195"/>
      <c r="AA362" s="195"/>
      <c r="AB362" s="195"/>
      <c r="AC362" s="195"/>
      <c r="AD362" s="195"/>
      <c r="AE362" s="195"/>
      <c r="AF362" s="195"/>
      <c r="AG362" s="195"/>
      <c r="AH362" s="195"/>
      <c r="AI362" s="195"/>
      <c r="AJ362" s="195"/>
    </row>
    <row r="363" spans="1:36" s="31" customFormat="1">
      <c r="A363" s="55">
        <f>IF(F363&lt;&gt;"",1+MAX($A$2:A362),"")</f>
        <v>239</v>
      </c>
      <c r="B363" s="174"/>
      <c r="C363" s="60"/>
      <c r="D363" s="147" t="s">
        <v>324</v>
      </c>
      <c r="E363" s="148">
        <f>ROUNDUP(E361*16,0)</f>
        <v>624</v>
      </c>
      <c r="F363" s="124">
        <v>0.05</v>
      </c>
      <c r="G363" s="64">
        <f t="shared" si="505"/>
        <v>655.20000000000005</v>
      </c>
      <c r="H363" s="125" t="s">
        <v>119</v>
      </c>
      <c r="I363" s="90">
        <v>1.0999999999999999E-2</v>
      </c>
      <c r="J363" s="91">
        <f t="shared" si="524"/>
        <v>7.2072000000000003</v>
      </c>
      <c r="K363" s="92">
        <f>'LABOR SHEET'!C$8</f>
        <v>36</v>
      </c>
      <c r="L363" s="93">
        <f t="shared" si="525"/>
        <v>0.39600000000000002</v>
      </c>
      <c r="M363" s="93">
        <f t="shared" si="526"/>
        <v>259.45920000000001</v>
      </c>
      <c r="N363" s="151">
        <v>0.03</v>
      </c>
      <c r="O363" s="93">
        <f t="shared" si="527"/>
        <v>19.655999999999999</v>
      </c>
      <c r="P363" s="93">
        <f t="shared" si="528"/>
        <v>0.42599999999999999</v>
      </c>
      <c r="Q363" s="112">
        <f t="shared" si="529"/>
        <v>279.11520000000002</v>
      </c>
      <c r="R363" s="195"/>
      <c r="S363" s="195"/>
      <c r="T363" s="195"/>
      <c r="U363" s="195"/>
      <c r="V363" s="195"/>
      <c r="W363" s="195"/>
      <c r="X363" s="195"/>
      <c r="Y363" s="195"/>
      <c r="Z363" s="195"/>
      <c r="AA363" s="195"/>
      <c r="AB363" s="195"/>
      <c r="AC363" s="195"/>
      <c r="AD363" s="195"/>
      <c r="AE363" s="195"/>
      <c r="AF363" s="195"/>
      <c r="AG363" s="195"/>
      <c r="AH363" s="195"/>
      <c r="AI363" s="195"/>
      <c r="AJ363" s="195"/>
    </row>
    <row r="364" spans="1:36" s="31" customFormat="1">
      <c r="A364" s="55">
        <f>IF(F364&lt;&gt;"",1+MAX($A$2:A363),"")</f>
        <v>240</v>
      </c>
      <c r="B364" s="174"/>
      <c r="C364" s="60"/>
      <c r="D364" s="147" t="s">
        <v>325</v>
      </c>
      <c r="E364" s="148">
        <f>E360*0.084</f>
        <v>104.67449999999999</v>
      </c>
      <c r="F364" s="59">
        <v>0.05</v>
      </c>
      <c r="G364" s="64">
        <f t="shared" si="505"/>
        <v>109.908225</v>
      </c>
      <c r="H364" s="125" t="s">
        <v>326</v>
      </c>
      <c r="I364" s="90">
        <v>0.11</v>
      </c>
      <c r="J364" s="91">
        <f t="shared" si="524"/>
        <v>12.089904750000001</v>
      </c>
      <c r="K364" s="92">
        <f>'LABOR SHEET'!C$8</f>
        <v>36</v>
      </c>
      <c r="L364" s="93">
        <f t="shared" si="525"/>
        <v>3.96</v>
      </c>
      <c r="M364" s="93">
        <f t="shared" si="526"/>
        <v>435.23657100000003</v>
      </c>
      <c r="N364" s="93">
        <v>0.5</v>
      </c>
      <c r="O364" s="93">
        <f t="shared" si="527"/>
        <v>54.954112500000001</v>
      </c>
      <c r="P364" s="93">
        <f t="shared" si="528"/>
        <v>4.46</v>
      </c>
      <c r="Q364" s="112">
        <f t="shared" si="529"/>
        <v>490.19068349999998</v>
      </c>
      <c r="R364" s="195"/>
      <c r="S364" s="195"/>
      <c r="T364" s="195"/>
      <c r="U364" s="195"/>
      <c r="V364" s="195"/>
      <c r="W364" s="195"/>
      <c r="X364" s="195"/>
      <c r="Y364" s="195"/>
      <c r="Z364" s="195"/>
      <c r="AA364" s="195"/>
      <c r="AB364" s="195"/>
      <c r="AC364" s="195"/>
      <c r="AD364" s="195"/>
      <c r="AE364" s="195"/>
      <c r="AF364" s="195"/>
      <c r="AG364" s="195"/>
      <c r="AH364" s="195"/>
      <c r="AI364" s="195"/>
      <c r="AJ364" s="195"/>
    </row>
    <row r="365" spans="1:36" s="31" customFormat="1">
      <c r="A365" s="55">
        <f>IF(F365&lt;&gt;"",1+MAX($A$2:A364),"")</f>
        <v>241</v>
      </c>
      <c r="B365" s="174"/>
      <c r="C365" s="60"/>
      <c r="D365" s="155" t="s">
        <v>329</v>
      </c>
      <c r="E365" s="148">
        <v>12471</v>
      </c>
      <c r="F365" s="124">
        <v>0.1</v>
      </c>
      <c r="G365" s="64">
        <f t="shared" si="505"/>
        <v>13718.1</v>
      </c>
      <c r="H365" s="150" t="s">
        <v>67</v>
      </c>
      <c r="I365" s="90">
        <v>1.2E-2</v>
      </c>
      <c r="J365" s="91">
        <f t="shared" si="512"/>
        <v>164.6172</v>
      </c>
      <c r="K365" s="92">
        <f>'LABOR SHEET'!C$8</f>
        <v>36</v>
      </c>
      <c r="L365" s="93">
        <f t="shared" si="513"/>
        <v>0.432</v>
      </c>
      <c r="M365" s="93">
        <f t="shared" si="514"/>
        <v>5926.2191999999995</v>
      </c>
      <c r="N365" s="93">
        <v>1.22</v>
      </c>
      <c r="O365" s="93">
        <f t="shared" si="515"/>
        <v>16736.081999999999</v>
      </c>
      <c r="P365" s="93">
        <f t="shared" si="516"/>
        <v>1.6519999999999999</v>
      </c>
      <c r="Q365" s="112">
        <f t="shared" si="517"/>
        <v>22662.301200000002</v>
      </c>
      <c r="R365" s="195"/>
      <c r="S365" s="195"/>
      <c r="T365" s="195"/>
      <c r="U365" s="195"/>
      <c r="V365" s="195"/>
      <c r="W365" s="195"/>
      <c r="X365" s="195"/>
      <c r="Y365" s="195"/>
      <c r="Z365" s="195"/>
      <c r="AA365" s="195"/>
      <c r="AB365" s="195"/>
      <c r="AC365" s="195"/>
      <c r="AD365" s="195"/>
      <c r="AE365" s="195"/>
      <c r="AF365" s="195"/>
      <c r="AG365" s="195"/>
      <c r="AH365" s="195"/>
      <c r="AI365" s="195"/>
      <c r="AJ365" s="195"/>
    </row>
    <row r="366" spans="1:36" s="31" customFormat="1">
      <c r="A366" s="55">
        <f>IF(F366&lt;&gt;"",1+MAX($A$2:A365),"")</f>
        <v>242</v>
      </c>
      <c r="B366" s="174"/>
      <c r="C366" s="60"/>
      <c r="D366" s="192" t="s">
        <v>330</v>
      </c>
      <c r="E366" s="148">
        <f>E365</f>
        <v>12471</v>
      </c>
      <c r="F366" s="124">
        <v>0.1</v>
      </c>
      <c r="G366" s="64">
        <f t="shared" si="505"/>
        <v>13718.1</v>
      </c>
      <c r="H366" s="150" t="s">
        <v>67</v>
      </c>
      <c r="I366" s="90">
        <v>7.0000000000000001E-3</v>
      </c>
      <c r="J366" s="91">
        <f t="shared" si="512"/>
        <v>96.026700000000005</v>
      </c>
      <c r="K366" s="92">
        <f>'LABOR SHEET'!C$8</f>
        <v>36</v>
      </c>
      <c r="L366" s="93">
        <f t="shared" si="513"/>
        <v>0.252</v>
      </c>
      <c r="M366" s="93">
        <f t="shared" si="514"/>
        <v>3456.9612000000002</v>
      </c>
      <c r="N366" s="93">
        <v>0.34</v>
      </c>
      <c r="O366" s="93">
        <f t="shared" si="515"/>
        <v>4664.1540000000005</v>
      </c>
      <c r="P366" s="93">
        <f t="shared" si="516"/>
        <v>0.59199999999999997</v>
      </c>
      <c r="Q366" s="112">
        <f t="shared" si="517"/>
        <v>8121.1152000000002</v>
      </c>
      <c r="R366" s="195"/>
      <c r="S366" s="195"/>
      <c r="T366" s="195"/>
      <c r="U366" s="195"/>
      <c r="V366" s="195"/>
      <c r="W366" s="195"/>
      <c r="X366" s="195"/>
      <c r="Y366" s="195"/>
      <c r="Z366" s="195"/>
      <c r="AA366" s="195"/>
      <c r="AB366" s="195"/>
      <c r="AC366" s="195"/>
      <c r="AD366" s="195"/>
      <c r="AE366" s="195"/>
      <c r="AF366" s="195"/>
      <c r="AG366" s="195"/>
      <c r="AH366" s="195"/>
      <c r="AI366" s="195"/>
      <c r="AJ366" s="195"/>
    </row>
    <row r="367" spans="1:36" s="31" customFormat="1">
      <c r="A367" s="55">
        <f>IF(F367&lt;&gt;"",1+MAX($A$2:A366),"")</f>
        <v>243</v>
      </c>
      <c r="B367" s="174"/>
      <c r="C367" s="60"/>
      <c r="D367" s="192" t="s">
        <v>331</v>
      </c>
      <c r="E367" s="148">
        <f>E365</f>
        <v>12471</v>
      </c>
      <c r="F367" s="124">
        <v>0.1</v>
      </c>
      <c r="G367" s="64">
        <f t="shared" si="505"/>
        <v>13718.1</v>
      </c>
      <c r="H367" s="150" t="s">
        <v>67</v>
      </c>
      <c r="I367" s="90">
        <v>8.0000000000000002E-3</v>
      </c>
      <c r="J367" s="91">
        <f t="shared" si="512"/>
        <v>109.7448</v>
      </c>
      <c r="K367" s="92">
        <f>'LABOR SHEET'!C$8</f>
        <v>36</v>
      </c>
      <c r="L367" s="93">
        <f t="shared" si="513"/>
        <v>0.28799999999999998</v>
      </c>
      <c r="M367" s="93">
        <f t="shared" si="514"/>
        <v>3950.8128000000002</v>
      </c>
      <c r="N367" s="93">
        <v>0.44</v>
      </c>
      <c r="O367" s="93">
        <f t="shared" si="515"/>
        <v>6035.9639999999999</v>
      </c>
      <c r="P367" s="93">
        <f t="shared" si="516"/>
        <v>0.72799999999999998</v>
      </c>
      <c r="Q367" s="112">
        <f t="shared" si="517"/>
        <v>9986.7767999999996</v>
      </c>
      <c r="R367" s="195"/>
      <c r="S367" s="195"/>
      <c r="T367" s="195"/>
      <c r="U367" s="195"/>
      <c r="V367" s="195"/>
      <c r="W367" s="195"/>
      <c r="X367" s="195"/>
      <c r="Y367" s="195"/>
      <c r="Z367" s="195"/>
      <c r="AA367" s="195"/>
      <c r="AB367" s="195"/>
      <c r="AC367" s="195"/>
      <c r="AD367" s="195"/>
      <c r="AE367" s="195"/>
      <c r="AF367" s="195"/>
      <c r="AG367" s="195"/>
      <c r="AH367" s="195"/>
      <c r="AI367" s="195"/>
      <c r="AJ367" s="195"/>
    </row>
    <row r="368" spans="1:36" s="31" customFormat="1">
      <c r="A368" s="55">
        <f>IF(F368&lt;&gt;"",1+MAX($A$2:A367),"")</f>
        <v>244</v>
      </c>
      <c r="B368" s="174"/>
      <c r="C368" s="60"/>
      <c r="D368" s="192" t="s">
        <v>317</v>
      </c>
      <c r="E368" s="156">
        <v>9427</v>
      </c>
      <c r="F368" s="124">
        <v>0.05</v>
      </c>
      <c r="G368" s="64">
        <f t="shared" si="505"/>
        <v>9898.35</v>
      </c>
      <c r="H368" s="150" t="s">
        <v>119</v>
      </c>
      <c r="I368" s="90">
        <v>1.7999999999999999E-2</v>
      </c>
      <c r="J368" s="91">
        <f t="shared" si="512"/>
        <v>178.1703</v>
      </c>
      <c r="K368" s="92">
        <f>'LABOR SHEET'!C$8</f>
        <v>36</v>
      </c>
      <c r="L368" s="93">
        <f t="shared" si="513"/>
        <v>0.64800000000000002</v>
      </c>
      <c r="M368" s="93">
        <f t="shared" si="514"/>
        <v>6414.1307999999999</v>
      </c>
      <c r="N368" s="93">
        <v>1.4</v>
      </c>
      <c r="O368" s="93">
        <f t="shared" si="515"/>
        <v>13857.69</v>
      </c>
      <c r="P368" s="93">
        <f t="shared" si="516"/>
        <v>2.048</v>
      </c>
      <c r="Q368" s="112">
        <f t="shared" si="517"/>
        <v>20271.820800000001</v>
      </c>
      <c r="R368" s="195"/>
      <c r="S368" s="195"/>
      <c r="T368" s="195"/>
      <c r="U368" s="195"/>
      <c r="V368" s="195"/>
      <c r="W368" s="195"/>
      <c r="X368" s="195"/>
      <c r="Y368" s="195"/>
      <c r="Z368" s="195"/>
      <c r="AA368" s="195"/>
      <c r="AB368" s="195"/>
      <c r="AC368" s="195"/>
      <c r="AD368" s="195"/>
      <c r="AE368" s="195"/>
      <c r="AF368" s="195"/>
      <c r="AG368" s="195"/>
      <c r="AH368" s="195"/>
      <c r="AI368" s="195"/>
      <c r="AJ368" s="195"/>
    </row>
    <row r="369" spans="1:36" s="31" customFormat="1">
      <c r="A369" s="55">
        <f>IF(F369&lt;&gt;"",1+MAX($A$2:A368),"")</f>
        <v>245</v>
      </c>
      <c r="B369" s="174"/>
      <c r="C369" s="60"/>
      <c r="D369" s="192" t="s">
        <v>332</v>
      </c>
      <c r="E369" s="156">
        <v>2993</v>
      </c>
      <c r="F369" s="124">
        <v>0.05</v>
      </c>
      <c r="G369" s="64">
        <f t="shared" si="505"/>
        <v>3142.65</v>
      </c>
      <c r="H369" s="150" t="s">
        <v>119</v>
      </c>
      <c r="I369" s="90">
        <v>1.7999999999999999E-2</v>
      </c>
      <c r="J369" s="91">
        <f t="shared" ref="J369" si="530">+I369*G369</f>
        <v>56.567700000000002</v>
      </c>
      <c r="K369" s="92">
        <f>'LABOR SHEET'!C$8</f>
        <v>36</v>
      </c>
      <c r="L369" s="93">
        <f t="shared" ref="L369" si="531">I369*K369</f>
        <v>0.64800000000000002</v>
      </c>
      <c r="M369" s="93">
        <f t="shared" ref="M369" si="532">K369*J369</f>
        <v>2036.4372000000001</v>
      </c>
      <c r="N369" s="93">
        <v>1.4</v>
      </c>
      <c r="O369" s="93">
        <f t="shared" ref="O369" si="533">N369*G369</f>
        <v>4399.71</v>
      </c>
      <c r="P369" s="93">
        <f t="shared" ref="P369" si="534">(I369*K369)+N369</f>
        <v>2.048</v>
      </c>
      <c r="Q369" s="112">
        <f t="shared" ref="Q369" si="535">P369*G369</f>
        <v>6436.1472000000003</v>
      </c>
      <c r="R369" s="195"/>
      <c r="S369" s="195"/>
      <c r="T369" s="195"/>
      <c r="U369" s="195"/>
      <c r="V369" s="195"/>
      <c r="W369" s="195"/>
      <c r="X369" s="195"/>
      <c r="Y369" s="195"/>
      <c r="Z369" s="195"/>
      <c r="AA369" s="195"/>
      <c r="AB369" s="195"/>
      <c r="AC369" s="195"/>
      <c r="AD369" s="195"/>
      <c r="AE369" s="195"/>
      <c r="AF369" s="195"/>
      <c r="AG369" s="195"/>
      <c r="AH369" s="195"/>
      <c r="AI369" s="195"/>
      <c r="AJ369" s="195"/>
    </row>
    <row r="370" spans="1:36" s="31" customFormat="1">
      <c r="A370" s="55">
        <f>IF(F370&lt;&gt;"",1+MAX($A$2:A369),"")</f>
        <v>246</v>
      </c>
      <c r="B370" s="174"/>
      <c r="C370" s="60"/>
      <c r="D370" s="192" t="s">
        <v>333</v>
      </c>
      <c r="E370" s="156">
        <v>998</v>
      </c>
      <c r="F370" s="124">
        <v>0.05</v>
      </c>
      <c r="G370" s="64">
        <f t="shared" si="505"/>
        <v>1047.9000000000001</v>
      </c>
      <c r="H370" s="150" t="s">
        <v>119</v>
      </c>
      <c r="I370" s="90">
        <v>1.7999999999999999E-2</v>
      </c>
      <c r="J370" s="91">
        <f t="shared" si="512"/>
        <v>18.862200000000001</v>
      </c>
      <c r="K370" s="92">
        <f>'LABOR SHEET'!C$8</f>
        <v>36</v>
      </c>
      <c r="L370" s="93">
        <f t="shared" si="513"/>
        <v>0.64800000000000002</v>
      </c>
      <c r="M370" s="93">
        <f t="shared" si="514"/>
        <v>679.03920000000005</v>
      </c>
      <c r="N370" s="93">
        <v>1.4</v>
      </c>
      <c r="O370" s="93">
        <f t="shared" si="515"/>
        <v>1467.06</v>
      </c>
      <c r="P370" s="93">
        <f t="shared" si="516"/>
        <v>2.048</v>
      </c>
      <c r="Q370" s="112">
        <f t="shared" si="517"/>
        <v>2146.0992000000001</v>
      </c>
      <c r="R370" s="195"/>
      <c r="S370" s="195"/>
      <c r="T370" s="195"/>
      <c r="U370" s="195"/>
      <c r="V370" s="195"/>
      <c r="W370" s="195"/>
      <c r="X370" s="195"/>
      <c r="Y370" s="195"/>
      <c r="Z370" s="195"/>
      <c r="AA370" s="195"/>
      <c r="AB370" s="195"/>
      <c r="AC370" s="195"/>
      <c r="AD370" s="195"/>
      <c r="AE370" s="195"/>
      <c r="AF370" s="195"/>
      <c r="AG370" s="195"/>
      <c r="AH370" s="195"/>
      <c r="AI370" s="195"/>
      <c r="AJ370" s="195"/>
    </row>
    <row r="371" spans="1:36" s="31" customFormat="1">
      <c r="A371" s="55">
        <f>IF(F371&lt;&gt;"",1+MAX($A$2:A370),"")</f>
        <v>247</v>
      </c>
      <c r="B371" s="174"/>
      <c r="C371" s="60"/>
      <c r="D371" s="192" t="s">
        <v>334</v>
      </c>
      <c r="E371" s="156">
        <v>1302</v>
      </c>
      <c r="F371" s="124">
        <v>0.05</v>
      </c>
      <c r="G371" s="64">
        <f t="shared" si="505"/>
        <v>1367.1</v>
      </c>
      <c r="H371" s="150" t="s">
        <v>119</v>
      </c>
      <c r="I371" s="90">
        <v>0.01</v>
      </c>
      <c r="J371" s="91">
        <f t="shared" si="512"/>
        <v>13.670999999999999</v>
      </c>
      <c r="K371" s="92">
        <f>'LABOR SHEET'!C$8</f>
        <v>36</v>
      </c>
      <c r="L371" s="93">
        <f t="shared" si="513"/>
        <v>0.36</v>
      </c>
      <c r="M371" s="93">
        <f t="shared" si="514"/>
        <v>492.15600000000001</v>
      </c>
      <c r="N371" s="93">
        <v>0.5</v>
      </c>
      <c r="O371" s="93">
        <f t="shared" si="515"/>
        <v>683.55</v>
      </c>
      <c r="P371" s="93">
        <f t="shared" si="516"/>
        <v>0.86</v>
      </c>
      <c r="Q371" s="112">
        <f t="shared" si="517"/>
        <v>1175.7059999999999</v>
      </c>
      <c r="R371" s="195"/>
      <c r="S371" s="195"/>
      <c r="T371" s="195"/>
      <c r="U371" s="195"/>
      <c r="V371" s="195"/>
      <c r="W371" s="195"/>
      <c r="X371" s="195"/>
      <c r="Y371" s="195"/>
      <c r="Z371" s="195"/>
      <c r="AA371" s="195"/>
      <c r="AB371" s="195"/>
      <c r="AC371" s="195"/>
      <c r="AD371" s="195"/>
      <c r="AE371" s="195"/>
      <c r="AF371" s="195"/>
      <c r="AG371" s="195"/>
      <c r="AH371" s="195"/>
      <c r="AI371" s="195"/>
      <c r="AJ371" s="195"/>
    </row>
    <row r="372" spans="1:36" s="31" customFormat="1">
      <c r="A372" s="55">
        <f>IF(F372&lt;&gt;"",1+MAX($A$2:A371),"")</f>
        <v>248</v>
      </c>
      <c r="B372" s="174"/>
      <c r="C372" s="60"/>
      <c r="D372" s="155" t="s">
        <v>335</v>
      </c>
      <c r="E372" s="156">
        <v>542.88</v>
      </c>
      <c r="F372" s="124">
        <v>0.05</v>
      </c>
      <c r="G372" s="64">
        <f t="shared" si="505"/>
        <v>570.024</v>
      </c>
      <c r="H372" s="150" t="s">
        <v>119</v>
      </c>
      <c r="I372" s="90">
        <v>1.6E-2</v>
      </c>
      <c r="J372" s="91">
        <f t="shared" ref="J372" si="536">+I372*G372</f>
        <v>9.1203839999999996</v>
      </c>
      <c r="K372" s="92">
        <f>'LABOR SHEET'!C$8</f>
        <v>36</v>
      </c>
      <c r="L372" s="93">
        <f t="shared" ref="L372" si="537">I372*K372</f>
        <v>0.57599999999999996</v>
      </c>
      <c r="M372" s="93">
        <f t="shared" ref="M372" si="538">K372*J372</f>
        <v>328.33382399999999</v>
      </c>
      <c r="N372" s="93">
        <v>0.7</v>
      </c>
      <c r="O372" s="93">
        <f t="shared" ref="O372" si="539">N372*G372</f>
        <v>399.01679999999999</v>
      </c>
      <c r="P372" s="93">
        <f t="shared" ref="P372" si="540">(I372*K372)+N372</f>
        <v>1.276</v>
      </c>
      <c r="Q372" s="112">
        <f t="shared" ref="Q372" si="541">P372*G372</f>
        <v>727.35062400000004</v>
      </c>
      <c r="R372" s="195"/>
      <c r="S372" s="195"/>
      <c r="T372" s="195"/>
      <c r="U372" s="195"/>
      <c r="V372" s="195"/>
      <c r="W372" s="195"/>
      <c r="X372" s="195"/>
      <c r="Y372" s="195"/>
      <c r="Z372" s="195"/>
      <c r="AA372" s="195"/>
      <c r="AB372" s="195"/>
      <c r="AC372" s="195"/>
      <c r="AD372" s="195"/>
      <c r="AE372" s="195"/>
      <c r="AF372" s="195"/>
      <c r="AG372" s="195"/>
      <c r="AH372" s="195"/>
      <c r="AI372" s="195"/>
      <c r="AJ372" s="195"/>
    </row>
    <row r="373" spans="1:36" s="31" customFormat="1">
      <c r="A373" s="55" t="str">
        <f>IF(F373&lt;&gt;"",1+MAX($A$2:A372),"")</f>
        <v/>
      </c>
      <c r="B373" s="174"/>
      <c r="C373" s="60"/>
      <c r="D373" s="192"/>
      <c r="E373" s="148"/>
      <c r="F373" s="124"/>
      <c r="G373" s="145"/>
      <c r="H373" s="150"/>
      <c r="I373" s="90"/>
      <c r="J373" s="91"/>
      <c r="K373" s="92"/>
      <c r="L373" s="93"/>
      <c r="M373" s="93"/>
      <c r="N373" s="93"/>
      <c r="O373" s="93"/>
      <c r="P373" s="93"/>
      <c r="Q373" s="111"/>
      <c r="R373" s="195"/>
      <c r="S373" s="195"/>
      <c r="T373" s="195"/>
      <c r="U373" s="195"/>
      <c r="V373" s="195"/>
      <c r="W373" s="195"/>
      <c r="X373" s="195"/>
      <c r="Y373" s="195"/>
      <c r="Z373" s="195"/>
      <c r="AA373" s="195"/>
      <c r="AB373" s="195"/>
      <c r="AC373" s="195"/>
      <c r="AD373" s="195"/>
      <c r="AE373" s="195"/>
      <c r="AF373" s="195"/>
      <c r="AG373" s="195"/>
      <c r="AH373" s="195"/>
      <c r="AI373" s="195"/>
      <c r="AJ373" s="195"/>
    </row>
    <row r="374" spans="1:36" s="31" customFormat="1">
      <c r="A374" s="55" t="str">
        <f>IF(F374&lt;&gt;"",1+MAX($A$2:A373),"")</f>
        <v/>
      </c>
      <c r="B374" s="174"/>
      <c r="C374" s="60"/>
      <c r="D374" s="175" t="s">
        <v>336</v>
      </c>
      <c r="E374" s="176"/>
      <c r="F374" s="124"/>
      <c r="G374" s="145"/>
      <c r="H374" s="160"/>
      <c r="I374" s="90"/>
      <c r="J374" s="91"/>
      <c r="K374" s="92"/>
      <c r="L374" s="93"/>
      <c r="M374" s="93"/>
      <c r="N374" s="93"/>
      <c r="O374" s="93"/>
      <c r="P374" s="93"/>
      <c r="Q374" s="111"/>
      <c r="R374" s="195"/>
      <c r="S374" s="195"/>
      <c r="T374" s="195"/>
      <c r="U374" s="195"/>
      <c r="V374" s="195"/>
      <c r="W374" s="195"/>
      <c r="X374" s="195"/>
      <c r="Y374" s="195"/>
      <c r="Z374" s="195"/>
      <c r="AA374" s="195"/>
      <c r="AB374" s="195"/>
      <c r="AC374" s="195"/>
      <c r="AD374" s="195"/>
      <c r="AE374" s="195"/>
      <c r="AF374" s="195"/>
      <c r="AG374" s="195"/>
      <c r="AH374" s="195"/>
      <c r="AI374" s="195"/>
      <c r="AJ374" s="195"/>
    </row>
    <row r="375" spans="1:36" s="31" customFormat="1">
      <c r="A375" s="55" t="str">
        <f>IF(F375&lt;&gt;"",1+MAX($A$2:A374),"")</f>
        <v/>
      </c>
      <c r="B375" s="174"/>
      <c r="C375" s="60"/>
      <c r="D375" s="187" t="s">
        <v>337</v>
      </c>
      <c r="E375" s="188"/>
      <c r="F375" s="189"/>
      <c r="G375" s="190"/>
      <c r="H375" s="191"/>
      <c r="I375" s="90"/>
      <c r="J375" s="91"/>
      <c r="K375" s="92"/>
      <c r="L375" s="93"/>
      <c r="M375" s="93"/>
      <c r="N375" s="93"/>
      <c r="O375" s="93"/>
      <c r="P375" s="93"/>
      <c r="Q375" s="111"/>
      <c r="R375" s="195"/>
      <c r="S375" s="195"/>
      <c r="T375" s="195"/>
      <c r="U375" s="195"/>
      <c r="V375" s="195"/>
      <c r="W375" s="195"/>
      <c r="X375" s="195"/>
      <c r="Y375" s="195"/>
      <c r="Z375" s="195"/>
      <c r="AA375" s="195"/>
      <c r="AB375" s="195"/>
      <c r="AC375" s="195"/>
      <c r="AD375" s="195"/>
      <c r="AE375" s="195"/>
      <c r="AF375" s="195"/>
      <c r="AG375" s="195"/>
      <c r="AH375" s="195"/>
      <c r="AI375" s="195"/>
      <c r="AJ375" s="195"/>
    </row>
    <row r="376" spans="1:36" s="31" customFormat="1">
      <c r="A376" s="55">
        <f>IF(F376&lt;&gt;"",1+MAX($A$2:A375),"")</f>
        <v>249</v>
      </c>
      <c r="B376" s="174"/>
      <c r="C376" s="60"/>
      <c r="D376" s="192" t="s">
        <v>322</v>
      </c>
      <c r="E376" s="156">
        <v>19557</v>
      </c>
      <c r="F376" s="124">
        <v>0.1</v>
      </c>
      <c r="G376" s="64">
        <f t="shared" ref="G376:G396" si="542">(F376*E376)+E376</f>
        <v>21512.7</v>
      </c>
      <c r="H376" s="150" t="s">
        <v>67</v>
      </c>
      <c r="I376" s="90">
        <v>1.7000000000000001E-2</v>
      </c>
      <c r="J376" s="91">
        <f t="shared" ref="J376" si="543">+I376*G376</f>
        <v>365.71589999999998</v>
      </c>
      <c r="K376" s="92">
        <f>'LABOR SHEET'!C$8</f>
        <v>36</v>
      </c>
      <c r="L376" s="93">
        <f t="shared" ref="L376" si="544">I376*K376</f>
        <v>0.61199999999999999</v>
      </c>
      <c r="M376" s="93">
        <f t="shared" ref="M376" si="545">K376*J376</f>
        <v>13165.7724</v>
      </c>
      <c r="N376" s="93">
        <v>0.495</v>
      </c>
      <c r="O376" s="93">
        <f t="shared" ref="O376" si="546">N376*G376</f>
        <v>10648.7865</v>
      </c>
      <c r="P376" s="93">
        <f t="shared" ref="P376" si="547">(I376*K376)+N376</f>
        <v>1.107</v>
      </c>
      <c r="Q376" s="112">
        <f t="shared" ref="Q376" si="548">P376*G376</f>
        <v>23814.5589</v>
      </c>
      <c r="R376" s="195"/>
      <c r="S376" s="195"/>
      <c r="T376" s="195"/>
      <c r="U376" s="195"/>
      <c r="V376" s="195"/>
      <c r="W376" s="195"/>
      <c r="X376" s="195"/>
      <c r="Y376" s="195"/>
      <c r="Z376" s="195"/>
      <c r="AA376" s="195"/>
      <c r="AB376" s="195"/>
      <c r="AC376" s="195"/>
      <c r="AD376" s="195"/>
      <c r="AE376" s="195"/>
      <c r="AF376" s="195"/>
      <c r="AG376" s="195"/>
      <c r="AH376" s="195"/>
      <c r="AI376" s="195"/>
      <c r="AJ376" s="195"/>
    </row>
    <row r="377" spans="1:36" s="31" customFormat="1">
      <c r="A377" s="55">
        <f>IF(F377&lt;&gt;"",1+MAX($A$2:A376),"")</f>
        <v>250</v>
      </c>
      <c r="B377" s="174"/>
      <c r="C377" s="60"/>
      <c r="D377" s="147" t="s">
        <v>187</v>
      </c>
      <c r="E377" s="148">
        <f>ROUNDUP(E376/32,0)</f>
        <v>612</v>
      </c>
      <c r="F377" s="124">
        <v>0</v>
      </c>
      <c r="G377" s="64">
        <f t="shared" si="542"/>
        <v>612</v>
      </c>
      <c r="H377" s="125" t="s">
        <v>124</v>
      </c>
      <c r="I377" s="90"/>
      <c r="J377" s="91"/>
      <c r="K377" s="92"/>
      <c r="L377" s="93"/>
      <c r="M377" s="93"/>
      <c r="N377" s="93"/>
      <c r="O377" s="93"/>
      <c r="P377" s="93"/>
      <c r="Q377" s="112"/>
      <c r="R377" s="195"/>
      <c r="S377" s="195"/>
      <c r="T377" s="195"/>
      <c r="U377" s="195"/>
      <c r="V377" s="195"/>
      <c r="W377" s="195"/>
      <c r="X377" s="195"/>
      <c r="Y377" s="195"/>
      <c r="Z377" s="195"/>
      <c r="AA377" s="195"/>
      <c r="AB377" s="195"/>
      <c r="AC377" s="195"/>
      <c r="AD377" s="195"/>
      <c r="AE377" s="195"/>
      <c r="AF377" s="195"/>
      <c r="AG377" s="195"/>
      <c r="AH377" s="195"/>
      <c r="AI377" s="195"/>
      <c r="AJ377" s="195"/>
    </row>
    <row r="378" spans="1:36" s="31" customFormat="1">
      <c r="A378" s="55">
        <f>IF(F378&lt;&gt;"",1+MAX($A$2:A377),"")</f>
        <v>251</v>
      </c>
      <c r="B378" s="174"/>
      <c r="C378" s="60"/>
      <c r="D378" s="147" t="s">
        <v>323</v>
      </c>
      <c r="E378" s="148">
        <f>ROUNDUP(E376*1.33,0)</f>
        <v>26011</v>
      </c>
      <c r="F378" s="124">
        <v>0</v>
      </c>
      <c r="G378" s="64">
        <f t="shared" si="542"/>
        <v>26011</v>
      </c>
      <c r="H378" s="125" t="s">
        <v>124</v>
      </c>
      <c r="I378" s="90">
        <v>2E-3</v>
      </c>
      <c r="J378" s="91">
        <f t="shared" ref="J378:J380" si="549">+I378*G378</f>
        <v>52.021999999999998</v>
      </c>
      <c r="K378" s="92">
        <f>'LABOR SHEET'!C$8</f>
        <v>36</v>
      </c>
      <c r="L378" s="93">
        <f t="shared" ref="L378:L380" si="550">I378*K378</f>
        <v>7.1999999999999995E-2</v>
      </c>
      <c r="M378" s="93">
        <f t="shared" ref="M378:M380" si="551">K378*J378</f>
        <v>1872.7919999999999</v>
      </c>
      <c r="N378" s="151">
        <v>0.06</v>
      </c>
      <c r="O378" s="93">
        <f t="shared" ref="O378:O380" si="552">N378*G378</f>
        <v>1560.66</v>
      </c>
      <c r="P378" s="93">
        <f t="shared" ref="P378:P380" si="553">(I378*K378)+N378</f>
        <v>0.13200000000000001</v>
      </c>
      <c r="Q378" s="112">
        <f t="shared" ref="Q378:Q380" si="554">P378*G378</f>
        <v>3433.4520000000002</v>
      </c>
      <c r="R378" s="195"/>
      <c r="S378" s="195"/>
      <c r="T378" s="195"/>
      <c r="U378" s="195"/>
      <c r="V378" s="195"/>
      <c r="W378" s="195"/>
      <c r="X378" s="195"/>
      <c r="Y378" s="195"/>
      <c r="Z378" s="195"/>
      <c r="AA378" s="195"/>
      <c r="AB378" s="195"/>
      <c r="AC378" s="195"/>
      <c r="AD378" s="195"/>
      <c r="AE378" s="195"/>
      <c r="AF378" s="195"/>
      <c r="AG378" s="195"/>
      <c r="AH378" s="195"/>
      <c r="AI378" s="195"/>
      <c r="AJ378" s="195"/>
    </row>
    <row r="379" spans="1:36" s="31" customFormat="1">
      <c r="A379" s="55">
        <f>IF(F379&lt;&gt;"",1+MAX($A$2:A378),"")</f>
        <v>252</v>
      </c>
      <c r="B379" s="174"/>
      <c r="C379" s="60"/>
      <c r="D379" s="147" t="s">
        <v>324</v>
      </c>
      <c r="E379" s="148">
        <f>ROUNDUP(E377*16,0)</f>
        <v>9792</v>
      </c>
      <c r="F379" s="124">
        <v>0.05</v>
      </c>
      <c r="G379" s="64">
        <f t="shared" si="542"/>
        <v>10281.6</v>
      </c>
      <c r="H379" s="125" t="s">
        <v>119</v>
      </c>
      <c r="I379" s="90">
        <v>1.0999999999999999E-2</v>
      </c>
      <c r="J379" s="91">
        <f t="shared" si="549"/>
        <v>113.0976</v>
      </c>
      <c r="K379" s="92">
        <f>'LABOR SHEET'!C$8</f>
        <v>36</v>
      </c>
      <c r="L379" s="93">
        <f t="shared" si="550"/>
        <v>0.39600000000000002</v>
      </c>
      <c r="M379" s="93">
        <f t="shared" si="551"/>
        <v>4071.5136000000002</v>
      </c>
      <c r="N379" s="151">
        <v>0.03</v>
      </c>
      <c r="O379" s="93">
        <f t="shared" si="552"/>
        <v>308.44799999999998</v>
      </c>
      <c r="P379" s="93">
        <f t="shared" si="553"/>
        <v>0.42599999999999999</v>
      </c>
      <c r="Q379" s="112">
        <f t="shared" si="554"/>
        <v>4379.9615999999996</v>
      </c>
      <c r="R379" s="195"/>
      <c r="S379" s="195"/>
      <c r="T379" s="195"/>
      <c r="U379" s="195"/>
      <c r="V379" s="195"/>
      <c r="W379" s="195"/>
      <c r="X379" s="195"/>
      <c r="Y379" s="195"/>
      <c r="Z379" s="195"/>
      <c r="AA379" s="195"/>
      <c r="AB379" s="195"/>
      <c r="AC379" s="195"/>
      <c r="AD379" s="195"/>
      <c r="AE379" s="195"/>
      <c r="AF379" s="195"/>
      <c r="AG379" s="195"/>
      <c r="AH379" s="195"/>
      <c r="AI379" s="195"/>
      <c r="AJ379" s="195"/>
    </row>
    <row r="380" spans="1:36" s="31" customFormat="1">
      <c r="A380" s="55">
        <f>IF(F380&lt;&gt;"",1+MAX($A$2:A379),"")</f>
        <v>253</v>
      </c>
      <c r="B380" s="174"/>
      <c r="C380" s="60"/>
      <c r="D380" s="147" t="s">
        <v>325</v>
      </c>
      <c r="E380" s="148">
        <f>E376*0.084</f>
        <v>1642.788</v>
      </c>
      <c r="F380" s="59">
        <v>0.05</v>
      </c>
      <c r="G380" s="64">
        <f t="shared" si="542"/>
        <v>1724.9274</v>
      </c>
      <c r="H380" s="125" t="s">
        <v>326</v>
      </c>
      <c r="I380" s="90">
        <v>0.11</v>
      </c>
      <c r="J380" s="91">
        <f t="shared" si="549"/>
        <v>189.74201400000001</v>
      </c>
      <c r="K380" s="92">
        <f>'LABOR SHEET'!C$8</f>
        <v>36</v>
      </c>
      <c r="L380" s="93">
        <f t="shared" si="550"/>
        <v>3.96</v>
      </c>
      <c r="M380" s="93">
        <f t="shared" si="551"/>
        <v>6830.7125040000001</v>
      </c>
      <c r="N380" s="93">
        <v>0.5</v>
      </c>
      <c r="O380" s="93">
        <f t="shared" si="552"/>
        <v>862.46370000000002</v>
      </c>
      <c r="P380" s="93">
        <f t="shared" si="553"/>
        <v>4.46</v>
      </c>
      <c r="Q380" s="112">
        <f t="shared" si="554"/>
        <v>7693.1762040000003</v>
      </c>
      <c r="R380" s="195"/>
      <c r="S380" s="195"/>
      <c r="T380" s="195"/>
      <c r="U380" s="195"/>
      <c r="V380" s="195"/>
      <c r="W380" s="195"/>
      <c r="X380" s="195"/>
      <c r="Y380" s="195"/>
      <c r="Z380" s="195"/>
      <c r="AA380" s="195"/>
      <c r="AB380" s="195"/>
      <c r="AC380" s="195"/>
      <c r="AD380" s="195"/>
      <c r="AE380" s="195"/>
      <c r="AF380" s="195"/>
      <c r="AG380" s="195"/>
      <c r="AH380" s="195"/>
      <c r="AI380" s="195"/>
      <c r="AJ380" s="195"/>
    </row>
    <row r="381" spans="1:36" s="31" customFormat="1">
      <c r="A381" s="55">
        <f>IF(F381&lt;&gt;"",1+MAX($A$2:A380),"")</f>
        <v>254</v>
      </c>
      <c r="B381" s="174"/>
      <c r="C381" s="60"/>
      <c r="D381" s="192" t="s">
        <v>327</v>
      </c>
      <c r="E381" s="156">
        <v>1062</v>
      </c>
      <c r="F381" s="124">
        <v>0.1</v>
      </c>
      <c r="G381" s="64">
        <f t="shared" si="542"/>
        <v>1168.2</v>
      </c>
      <c r="H381" s="150" t="s">
        <v>67</v>
      </c>
      <c r="I381" s="90">
        <v>1.7999999999999999E-2</v>
      </c>
      <c r="J381" s="91">
        <f t="shared" ref="J381:J396" si="555">+I381*G381</f>
        <v>21.0276</v>
      </c>
      <c r="K381" s="92">
        <f>'LABOR SHEET'!C$8</f>
        <v>36</v>
      </c>
      <c r="L381" s="93">
        <f t="shared" ref="L381:L396" si="556">I381*K381</f>
        <v>0.64800000000000002</v>
      </c>
      <c r="M381" s="93">
        <f t="shared" ref="M381:M396" si="557">K381*J381</f>
        <v>756.99360000000001</v>
      </c>
      <c r="N381" s="93">
        <v>0.56000000000000005</v>
      </c>
      <c r="O381" s="93">
        <f t="shared" ref="O381:O396" si="558">N381*G381</f>
        <v>654.19200000000001</v>
      </c>
      <c r="P381" s="93">
        <f t="shared" ref="P381:P396" si="559">(I381*K381)+N381</f>
        <v>1.208</v>
      </c>
      <c r="Q381" s="112">
        <f t="shared" ref="Q381:Q396" si="560">P381*G381</f>
        <v>1411.1856</v>
      </c>
      <c r="R381" s="195"/>
      <c r="S381" s="195"/>
      <c r="T381" s="195"/>
      <c r="U381" s="195"/>
      <c r="V381" s="195"/>
      <c r="W381" s="195"/>
      <c r="X381" s="195"/>
      <c r="Y381" s="195"/>
      <c r="Z381" s="195"/>
      <c r="AA381" s="195"/>
      <c r="AB381" s="195"/>
      <c r="AC381" s="195"/>
      <c r="AD381" s="195"/>
      <c r="AE381" s="195"/>
      <c r="AF381" s="195"/>
      <c r="AG381" s="195"/>
      <c r="AH381" s="195"/>
      <c r="AI381" s="195"/>
      <c r="AJ381" s="195"/>
    </row>
    <row r="382" spans="1:36" s="31" customFormat="1">
      <c r="A382" s="55">
        <f>IF(F382&lt;&gt;"",1+MAX($A$2:A381),"")</f>
        <v>255</v>
      </c>
      <c r="B382" s="174"/>
      <c r="C382" s="60"/>
      <c r="D382" s="147" t="s">
        <v>187</v>
      </c>
      <c r="E382" s="148">
        <f>ROUNDUP(E381/32,0)</f>
        <v>34</v>
      </c>
      <c r="F382" s="124">
        <v>0</v>
      </c>
      <c r="G382" s="64">
        <f t="shared" si="542"/>
        <v>34</v>
      </c>
      <c r="H382" s="125" t="s">
        <v>124</v>
      </c>
      <c r="I382" s="90"/>
      <c r="J382" s="91"/>
      <c r="K382" s="92"/>
      <c r="L382" s="93"/>
      <c r="M382" s="93"/>
      <c r="N382" s="93"/>
      <c r="O382" s="93"/>
      <c r="P382" s="93"/>
      <c r="Q382" s="112"/>
      <c r="R382" s="195"/>
      <c r="S382" s="195"/>
      <c r="T382" s="195"/>
      <c r="U382" s="195"/>
      <c r="V382" s="195"/>
      <c r="W382" s="195"/>
      <c r="X382" s="195"/>
      <c r="Y382" s="195"/>
      <c r="Z382" s="195"/>
      <c r="AA382" s="195"/>
      <c r="AB382" s="195"/>
      <c r="AC382" s="195"/>
      <c r="AD382" s="195"/>
      <c r="AE382" s="195"/>
      <c r="AF382" s="195"/>
      <c r="AG382" s="195"/>
      <c r="AH382" s="195"/>
      <c r="AI382" s="195"/>
      <c r="AJ382" s="195"/>
    </row>
    <row r="383" spans="1:36" s="31" customFormat="1">
      <c r="A383" s="55">
        <f>IF(F383&lt;&gt;"",1+MAX($A$2:A382),"")</f>
        <v>256</v>
      </c>
      <c r="B383" s="174"/>
      <c r="C383" s="60"/>
      <c r="D383" s="147" t="s">
        <v>323</v>
      </c>
      <c r="E383" s="148">
        <f>ROUNDUP(E381*1.33,0)</f>
        <v>1413</v>
      </c>
      <c r="F383" s="124">
        <v>0</v>
      </c>
      <c r="G383" s="64">
        <f t="shared" si="542"/>
        <v>1413</v>
      </c>
      <c r="H383" s="125" t="s">
        <v>124</v>
      </c>
      <c r="I383" s="90">
        <v>2E-3</v>
      </c>
      <c r="J383" s="91">
        <f t="shared" ref="J383:J386" si="561">+I383*G383</f>
        <v>2.8260000000000001</v>
      </c>
      <c r="K383" s="92">
        <f>'LABOR SHEET'!C$8</f>
        <v>36</v>
      </c>
      <c r="L383" s="93">
        <f t="shared" ref="L383:L386" si="562">I383*K383</f>
        <v>7.1999999999999995E-2</v>
      </c>
      <c r="M383" s="93">
        <f t="shared" ref="M383:M386" si="563">K383*J383</f>
        <v>101.736</v>
      </c>
      <c r="N383" s="151">
        <v>0.06</v>
      </c>
      <c r="O383" s="93">
        <f t="shared" ref="O383:O386" si="564">N383*G383</f>
        <v>84.78</v>
      </c>
      <c r="P383" s="93">
        <f t="shared" ref="P383:P386" si="565">(I383*K383)+N383</f>
        <v>0.13200000000000001</v>
      </c>
      <c r="Q383" s="112">
        <f t="shared" ref="Q383:Q386" si="566">P383*G383</f>
        <v>186.51599999999999</v>
      </c>
      <c r="R383" s="195"/>
      <c r="S383" s="195"/>
      <c r="T383" s="195"/>
      <c r="U383" s="195"/>
      <c r="V383" s="195"/>
      <c r="W383" s="195"/>
      <c r="X383" s="195"/>
      <c r="Y383" s="195"/>
      <c r="Z383" s="195"/>
      <c r="AA383" s="195"/>
      <c r="AB383" s="195"/>
      <c r="AC383" s="195"/>
      <c r="AD383" s="195"/>
      <c r="AE383" s="195"/>
      <c r="AF383" s="195"/>
      <c r="AG383" s="195"/>
      <c r="AH383" s="195"/>
      <c r="AI383" s="195"/>
      <c r="AJ383" s="195"/>
    </row>
    <row r="384" spans="1:36" s="31" customFormat="1">
      <c r="A384" s="55">
        <f>IF(F384&lt;&gt;"",1+MAX($A$2:A383),"")</f>
        <v>257</v>
      </c>
      <c r="B384" s="174"/>
      <c r="C384" s="60"/>
      <c r="D384" s="147" t="s">
        <v>324</v>
      </c>
      <c r="E384" s="148">
        <f>ROUNDUP(E382*16,0)</f>
        <v>544</v>
      </c>
      <c r="F384" s="124">
        <v>0.05</v>
      </c>
      <c r="G384" s="64">
        <f t="shared" si="542"/>
        <v>571.20000000000005</v>
      </c>
      <c r="H384" s="125" t="s">
        <v>119</v>
      </c>
      <c r="I384" s="90">
        <v>1.0999999999999999E-2</v>
      </c>
      <c r="J384" s="91">
        <f t="shared" si="561"/>
        <v>6.2831999999999999</v>
      </c>
      <c r="K384" s="92">
        <f>'LABOR SHEET'!C$8</f>
        <v>36</v>
      </c>
      <c r="L384" s="93">
        <f t="shared" si="562"/>
        <v>0.39600000000000002</v>
      </c>
      <c r="M384" s="93">
        <f t="shared" si="563"/>
        <v>226.1952</v>
      </c>
      <c r="N384" s="151">
        <v>0.03</v>
      </c>
      <c r="O384" s="93">
        <f t="shared" si="564"/>
        <v>17.135999999999999</v>
      </c>
      <c r="P384" s="93">
        <f t="shared" si="565"/>
        <v>0.42599999999999999</v>
      </c>
      <c r="Q384" s="112">
        <f t="shared" si="566"/>
        <v>243.3312</v>
      </c>
      <c r="R384" s="195"/>
      <c r="S384" s="195"/>
      <c r="T384" s="195"/>
      <c r="U384" s="195"/>
      <c r="V384" s="195"/>
      <c r="W384" s="195"/>
      <c r="X384" s="195"/>
      <c r="Y384" s="195"/>
      <c r="Z384" s="195"/>
      <c r="AA384" s="195"/>
      <c r="AB384" s="195"/>
      <c r="AC384" s="195"/>
      <c r="AD384" s="195"/>
      <c r="AE384" s="195"/>
      <c r="AF384" s="195"/>
      <c r="AG384" s="195"/>
      <c r="AH384" s="195"/>
      <c r="AI384" s="195"/>
      <c r="AJ384" s="195"/>
    </row>
    <row r="385" spans="1:36" s="31" customFormat="1">
      <c r="A385" s="55">
        <f>IF(F385&lt;&gt;"",1+MAX($A$2:A384),"")</f>
        <v>258</v>
      </c>
      <c r="B385" s="174"/>
      <c r="C385" s="60"/>
      <c r="D385" s="147" t="s">
        <v>325</v>
      </c>
      <c r="E385" s="148">
        <f>E381*0.084</f>
        <v>89.207999999999998</v>
      </c>
      <c r="F385" s="59">
        <v>0.05</v>
      </c>
      <c r="G385" s="64">
        <f t="shared" si="542"/>
        <v>93.668400000000005</v>
      </c>
      <c r="H385" s="125" t="s">
        <v>326</v>
      </c>
      <c r="I385" s="90">
        <v>0.11</v>
      </c>
      <c r="J385" s="91">
        <f t="shared" si="561"/>
        <v>10.303523999999999</v>
      </c>
      <c r="K385" s="92">
        <f>'LABOR SHEET'!C$8</f>
        <v>36</v>
      </c>
      <c r="L385" s="93">
        <f t="shared" si="562"/>
        <v>3.96</v>
      </c>
      <c r="M385" s="93">
        <f t="shared" si="563"/>
        <v>370.92686400000002</v>
      </c>
      <c r="N385" s="93">
        <v>0.5</v>
      </c>
      <c r="O385" s="93">
        <f t="shared" si="564"/>
        <v>46.834200000000003</v>
      </c>
      <c r="P385" s="93">
        <f t="shared" si="565"/>
        <v>4.46</v>
      </c>
      <c r="Q385" s="112">
        <f t="shared" si="566"/>
        <v>417.76106399999998</v>
      </c>
      <c r="R385" s="195"/>
      <c r="S385" s="195"/>
      <c r="T385" s="195"/>
      <c r="U385" s="195"/>
      <c r="V385" s="195"/>
      <c r="W385" s="195"/>
      <c r="X385" s="195"/>
      <c r="Y385" s="195"/>
      <c r="Z385" s="195"/>
      <c r="AA385" s="195"/>
      <c r="AB385" s="195"/>
      <c r="AC385" s="195"/>
      <c r="AD385" s="195"/>
      <c r="AE385" s="195"/>
      <c r="AF385" s="195"/>
      <c r="AG385" s="195"/>
      <c r="AH385" s="195"/>
      <c r="AI385" s="195"/>
      <c r="AJ385" s="195"/>
    </row>
    <row r="386" spans="1:36" s="31" customFormat="1">
      <c r="A386" s="55">
        <f>IF(F386&lt;&gt;"",1+MAX($A$2:A385),"")</f>
        <v>259</v>
      </c>
      <c r="B386" s="174"/>
      <c r="C386" s="60"/>
      <c r="D386" s="192" t="s">
        <v>328</v>
      </c>
      <c r="E386" s="156">
        <v>5218</v>
      </c>
      <c r="F386" s="124">
        <v>0.1</v>
      </c>
      <c r="G386" s="64">
        <f t="shared" si="542"/>
        <v>5739.8</v>
      </c>
      <c r="H386" s="150" t="s">
        <v>67</v>
      </c>
      <c r="I386" s="90">
        <v>1.9E-2</v>
      </c>
      <c r="J386" s="91">
        <f t="shared" si="561"/>
        <v>109.0562</v>
      </c>
      <c r="K386" s="92">
        <f>'LABOR SHEET'!C$8</f>
        <v>36</v>
      </c>
      <c r="L386" s="93">
        <f t="shared" si="562"/>
        <v>0.68400000000000005</v>
      </c>
      <c r="M386" s="93">
        <f t="shared" si="563"/>
        <v>3926.0232000000001</v>
      </c>
      <c r="N386" s="93">
        <v>0.74</v>
      </c>
      <c r="O386" s="93">
        <f t="shared" si="564"/>
        <v>4247.4520000000002</v>
      </c>
      <c r="P386" s="93">
        <f t="shared" si="565"/>
        <v>1.4239999999999999</v>
      </c>
      <c r="Q386" s="112">
        <f t="shared" si="566"/>
        <v>8173.4751999999999</v>
      </c>
      <c r="R386" s="195"/>
      <c r="S386" s="195"/>
      <c r="T386" s="195"/>
      <c r="U386" s="195"/>
      <c r="V386" s="195"/>
      <c r="W386" s="195"/>
      <c r="X386" s="195"/>
      <c r="Y386" s="195"/>
      <c r="Z386" s="195"/>
      <c r="AA386" s="195"/>
      <c r="AB386" s="195"/>
      <c r="AC386" s="195"/>
      <c r="AD386" s="195"/>
      <c r="AE386" s="195"/>
      <c r="AF386" s="195"/>
      <c r="AG386" s="195"/>
      <c r="AH386" s="195"/>
      <c r="AI386" s="195"/>
      <c r="AJ386" s="195"/>
    </row>
    <row r="387" spans="1:36" s="31" customFormat="1">
      <c r="A387" s="55">
        <f>IF(F387&lt;&gt;"",1+MAX($A$2:A386),"")</f>
        <v>260</v>
      </c>
      <c r="B387" s="174"/>
      <c r="C387" s="60"/>
      <c r="D387" s="147" t="s">
        <v>187</v>
      </c>
      <c r="E387" s="148">
        <f>ROUNDUP(E386/32,0)</f>
        <v>164</v>
      </c>
      <c r="F387" s="124">
        <v>0</v>
      </c>
      <c r="G387" s="64">
        <f t="shared" si="542"/>
        <v>164</v>
      </c>
      <c r="H387" s="125" t="s">
        <v>124</v>
      </c>
      <c r="I387" s="90"/>
      <c r="J387" s="91"/>
      <c r="K387" s="92"/>
      <c r="L387" s="93"/>
      <c r="M387" s="93"/>
      <c r="N387" s="93"/>
      <c r="O387" s="93"/>
      <c r="P387" s="93"/>
      <c r="Q387" s="112"/>
      <c r="R387" s="195"/>
      <c r="S387" s="195"/>
      <c r="T387" s="195"/>
      <c r="U387" s="195"/>
      <c r="V387" s="195"/>
      <c r="W387" s="195"/>
      <c r="X387" s="195"/>
      <c r="Y387" s="195"/>
      <c r="Z387" s="195"/>
      <c r="AA387" s="195"/>
      <c r="AB387" s="195"/>
      <c r="AC387" s="195"/>
      <c r="AD387" s="195"/>
      <c r="AE387" s="195"/>
      <c r="AF387" s="195"/>
      <c r="AG387" s="195"/>
      <c r="AH387" s="195"/>
      <c r="AI387" s="195"/>
      <c r="AJ387" s="195"/>
    </row>
    <row r="388" spans="1:36" s="31" customFormat="1">
      <c r="A388" s="55">
        <f>IF(F388&lt;&gt;"",1+MAX($A$2:A387),"")</f>
        <v>261</v>
      </c>
      <c r="B388" s="174"/>
      <c r="C388" s="60"/>
      <c r="D388" s="147" t="s">
        <v>323</v>
      </c>
      <c r="E388" s="148">
        <f>ROUNDUP(E386*1.33,0)</f>
        <v>6940</v>
      </c>
      <c r="F388" s="124">
        <v>0</v>
      </c>
      <c r="G388" s="64">
        <f t="shared" si="542"/>
        <v>6940</v>
      </c>
      <c r="H388" s="125" t="s">
        <v>124</v>
      </c>
      <c r="I388" s="90">
        <v>2E-3</v>
      </c>
      <c r="J388" s="91">
        <f t="shared" ref="J388:J390" si="567">+I388*G388</f>
        <v>13.88</v>
      </c>
      <c r="K388" s="92">
        <f>'LABOR SHEET'!C$8</f>
        <v>36</v>
      </c>
      <c r="L388" s="93">
        <f t="shared" ref="L388:L390" si="568">I388*K388</f>
        <v>7.1999999999999995E-2</v>
      </c>
      <c r="M388" s="93">
        <f t="shared" ref="M388:M390" si="569">K388*J388</f>
        <v>499.68</v>
      </c>
      <c r="N388" s="151">
        <v>0.06</v>
      </c>
      <c r="O388" s="93">
        <f t="shared" ref="O388:O390" si="570">N388*G388</f>
        <v>416.4</v>
      </c>
      <c r="P388" s="93">
        <f t="shared" ref="P388:P390" si="571">(I388*K388)+N388</f>
        <v>0.13200000000000001</v>
      </c>
      <c r="Q388" s="112">
        <f t="shared" ref="Q388:Q390" si="572">P388*G388</f>
        <v>916.08</v>
      </c>
      <c r="R388" s="195"/>
      <c r="S388" s="195"/>
      <c r="T388" s="195"/>
      <c r="U388" s="195"/>
      <c r="V388" s="195"/>
      <c r="W388" s="195"/>
      <c r="X388" s="195"/>
      <c r="Y388" s="195"/>
      <c r="Z388" s="195"/>
      <c r="AA388" s="195"/>
      <c r="AB388" s="195"/>
      <c r="AC388" s="195"/>
      <c r="AD388" s="195"/>
      <c r="AE388" s="195"/>
      <c r="AF388" s="195"/>
      <c r="AG388" s="195"/>
      <c r="AH388" s="195"/>
      <c r="AI388" s="195"/>
      <c r="AJ388" s="195"/>
    </row>
    <row r="389" spans="1:36" s="31" customFormat="1">
      <c r="A389" s="55">
        <f>IF(F389&lt;&gt;"",1+MAX($A$2:A388),"")</f>
        <v>262</v>
      </c>
      <c r="B389" s="174"/>
      <c r="C389" s="60"/>
      <c r="D389" s="147" t="s">
        <v>324</v>
      </c>
      <c r="E389" s="148">
        <f>ROUNDUP(E387*16,0)</f>
        <v>2624</v>
      </c>
      <c r="F389" s="124">
        <v>0.05</v>
      </c>
      <c r="G389" s="64">
        <f t="shared" si="542"/>
        <v>2755.2</v>
      </c>
      <c r="H389" s="125" t="s">
        <v>119</v>
      </c>
      <c r="I389" s="90">
        <v>1.0999999999999999E-2</v>
      </c>
      <c r="J389" s="91">
        <f t="shared" si="567"/>
        <v>30.307200000000002</v>
      </c>
      <c r="K389" s="92">
        <f>'LABOR SHEET'!C$8</f>
        <v>36</v>
      </c>
      <c r="L389" s="93">
        <f t="shared" si="568"/>
        <v>0.39600000000000002</v>
      </c>
      <c r="M389" s="93">
        <f t="shared" si="569"/>
        <v>1091.0591999999999</v>
      </c>
      <c r="N389" s="151">
        <v>0.03</v>
      </c>
      <c r="O389" s="93">
        <f t="shared" si="570"/>
        <v>82.656000000000006</v>
      </c>
      <c r="P389" s="93">
        <f t="shared" si="571"/>
        <v>0.42599999999999999</v>
      </c>
      <c r="Q389" s="112">
        <f t="shared" si="572"/>
        <v>1173.7152000000001</v>
      </c>
      <c r="R389" s="195"/>
      <c r="S389" s="195"/>
      <c r="T389" s="195"/>
      <c r="U389" s="195"/>
      <c r="V389" s="195"/>
      <c r="W389" s="195"/>
      <c r="X389" s="195"/>
      <c r="Y389" s="195"/>
      <c r="Z389" s="195"/>
      <c r="AA389" s="195"/>
      <c r="AB389" s="195"/>
      <c r="AC389" s="195"/>
      <c r="AD389" s="195"/>
      <c r="AE389" s="195"/>
      <c r="AF389" s="195"/>
      <c r="AG389" s="195"/>
      <c r="AH389" s="195"/>
      <c r="AI389" s="195"/>
      <c r="AJ389" s="195"/>
    </row>
    <row r="390" spans="1:36" s="31" customFormat="1">
      <c r="A390" s="55">
        <f>IF(F390&lt;&gt;"",1+MAX($A$2:A389),"")</f>
        <v>263</v>
      </c>
      <c r="B390" s="174"/>
      <c r="C390" s="60"/>
      <c r="D390" s="147" t="s">
        <v>325</v>
      </c>
      <c r="E390" s="148">
        <f>E386*0.084</f>
        <v>438.31200000000001</v>
      </c>
      <c r="F390" s="59">
        <v>0.05</v>
      </c>
      <c r="G390" s="64">
        <f t="shared" si="542"/>
        <v>460.2276</v>
      </c>
      <c r="H390" s="125" t="s">
        <v>326</v>
      </c>
      <c r="I390" s="90">
        <v>0.11</v>
      </c>
      <c r="J390" s="91">
        <f t="shared" si="567"/>
        <v>50.625036000000001</v>
      </c>
      <c r="K390" s="92">
        <f>'LABOR SHEET'!C$8</f>
        <v>36</v>
      </c>
      <c r="L390" s="93">
        <f t="shared" si="568"/>
        <v>3.96</v>
      </c>
      <c r="M390" s="93">
        <f t="shared" si="569"/>
        <v>1822.5012959999999</v>
      </c>
      <c r="N390" s="93">
        <v>0.5</v>
      </c>
      <c r="O390" s="93">
        <f t="shared" si="570"/>
        <v>230.1138</v>
      </c>
      <c r="P390" s="93">
        <f t="shared" si="571"/>
        <v>4.46</v>
      </c>
      <c r="Q390" s="112">
        <f t="shared" si="572"/>
        <v>2052.615096</v>
      </c>
      <c r="R390" s="195"/>
      <c r="S390" s="195"/>
      <c r="T390" s="195"/>
      <c r="U390" s="195"/>
      <c r="V390" s="195"/>
      <c r="W390" s="195"/>
      <c r="X390" s="195"/>
      <c r="Y390" s="195"/>
      <c r="Z390" s="195"/>
      <c r="AA390" s="195"/>
      <c r="AB390" s="195"/>
      <c r="AC390" s="195"/>
      <c r="AD390" s="195"/>
      <c r="AE390" s="195"/>
      <c r="AF390" s="195"/>
      <c r="AG390" s="195"/>
      <c r="AH390" s="195"/>
      <c r="AI390" s="195"/>
      <c r="AJ390" s="195"/>
    </row>
    <row r="391" spans="1:36" s="31" customFormat="1">
      <c r="A391" s="55">
        <f>IF(F391&lt;&gt;"",1+MAX($A$2:A390),"")</f>
        <v>264</v>
      </c>
      <c r="B391" s="174"/>
      <c r="C391" s="60"/>
      <c r="D391" s="155" t="s">
        <v>338</v>
      </c>
      <c r="E391" s="156">
        <v>12919</v>
      </c>
      <c r="F391" s="124">
        <v>0.1</v>
      </c>
      <c r="G391" s="64">
        <f t="shared" si="542"/>
        <v>14210.9</v>
      </c>
      <c r="H391" s="150" t="s">
        <v>67</v>
      </c>
      <c r="I391" s="90">
        <v>1.2E-2</v>
      </c>
      <c r="J391" s="91">
        <f t="shared" si="555"/>
        <v>170.5308</v>
      </c>
      <c r="K391" s="92">
        <f>'LABOR SHEET'!C$8</f>
        <v>36</v>
      </c>
      <c r="L391" s="93">
        <f t="shared" si="556"/>
        <v>0.432</v>
      </c>
      <c r="M391" s="93">
        <f t="shared" si="557"/>
        <v>6139.1088</v>
      </c>
      <c r="N391" s="93">
        <v>1.22</v>
      </c>
      <c r="O391" s="93">
        <f t="shared" si="558"/>
        <v>17337.297999999999</v>
      </c>
      <c r="P391" s="93">
        <f t="shared" si="559"/>
        <v>1.6519999999999999</v>
      </c>
      <c r="Q391" s="112">
        <f t="shared" si="560"/>
        <v>23476.406800000001</v>
      </c>
      <c r="R391" s="195"/>
      <c r="S391" s="195"/>
      <c r="T391" s="195"/>
      <c r="U391" s="195"/>
      <c r="V391" s="195"/>
      <c r="W391" s="195"/>
      <c r="X391" s="195"/>
      <c r="Y391" s="195"/>
      <c r="Z391" s="195"/>
      <c r="AA391" s="195"/>
      <c r="AB391" s="195"/>
      <c r="AC391" s="195"/>
      <c r="AD391" s="195"/>
      <c r="AE391" s="195"/>
      <c r="AF391" s="195"/>
      <c r="AG391" s="195"/>
      <c r="AH391" s="195"/>
      <c r="AI391" s="195"/>
      <c r="AJ391" s="195"/>
    </row>
    <row r="392" spans="1:36" s="31" customFormat="1">
      <c r="A392" s="55">
        <f>IF(F392&lt;&gt;"",1+MAX($A$2:A391),"")</f>
        <v>265</v>
      </c>
      <c r="B392" s="174"/>
      <c r="C392" s="60"/>
      <c r="D392" s="192" t="s">
        <v>317</v>
      </c>
      <c r="E392" s="156">
        <v>9776</v>
      </c>
      <c r="F392" s="124">
        <v>0.05</v>
      </c>
      <c r="G392" s="64">
        <f t="shared" si="542"/>
        <v>10264.799999999999</v>
      </c>
      <c r="H392" s="150" t="s">
        <v>119</v>
      </c>
      <c r="I392" s="90">
        <v>1.7999999999999999E-2</v>
      </c>
      <c r="J392" s="91">
        <f t="shared" si="555"/>
        <v>184.7664</v>
      </c>
      <c r="K392" s="92">
        <f>'LABOR SHEET'!C$8</f>
        <v>36</v>
      </c>
      <c r="L392" s="93">
        <f t="shared" si="556"/>
        <v>0.64800000000000002</v>
      </c>
      <c r="M392" s="93">
        <f t="shared" si="557"/>
        <v>6651.5904</v>
      </c>
      <c r="N392" s="93">
        <v>1.4</v>
      </c>
      <c r="O392" s="93">
        <f t="shared" si="558"/>
        <v>14370.72</v>
      </c>
      <c r="P392" s="93">
        <f t="shared" si="559"/>
        <v>2.048</v>
      </c>
      <c r="Q392" s="112">
        <f t="shared" si="560"/>
        <v>21022.310399999998</v>
      </c>
      <c r="R392" s="195"/>
      <c r="S392" s="195"/>
      <c r="T392" s="195"/>
      <c r="U392" s="195"/>
      <c r="V392" s="195"/>
      <c r="W392" s="195"/>
      <c r="X392" s="195"/>
      <c r="Y392" s="195"/>
      <c r="Z392" s="195"/>
      <c r="AA392" s="195"/>
      <c r="AB392" s="195"/>
      <c r="AC392" s="195"/>
      <c r="AD392" s="195"/>
      <c r="AE392" s="195"/>
      <c r="AF392" s="195"/>
      <c r="AG392" s="195"/>
      <c r="AH392" s="195"/>
      <c r="AI392" s="195"/>
      <c r="AJ392" s="195"/>
    </row>
    <row r="393" spans="1:36" s="31" customFormat="1">
      <c r="A393" s="55">
        <f>IF(F393&lt;&gt;"",1+MAX($A$2:A392),"")</f>
        <v>266</v>
      </c>
      <c r="B393" s="174"/>
      <c r="C393" s="60"/>
      <c r="D393" s="192" t="s">
        <v>332</v>
      </c>
      <c r="E393" s="156">
        <v>3100</v>
      </c>
      <c r="F393" s="124">
        <v>0.05</v>
      </c>
      <c r="G393" s="64">
        <f t="shared" si="542"/>
        <v>3255</v>
      </c>
      <c r="H393" s="150" t="s">
        <v>119</v>
      </c>
      <c r="I393" s="90">
        <v>1.7999999999999999E-2</v>
      </c>
      <c r="J393" s="91">
        <f t="shared" si="555"/>
        <v>58.59</v>
      </c>
      <c r="K393" s="92">
        <f>'LABOR SHEET'!C$8</f>
        <v>36</v>
      </c>
      <c r="L393" s="93">
        <f t="shared" si="556"/>
        <v>0.64800000000000002</v>
      </c>
      <c r="M393" s="93">
        <f t="shared" si="557"/>
        <v>2109.2399999999998</v>
      </c>
      <c r="N393" s="93">
        <v>1.4</v>
      </c>
      <c r="O393" s="93">
        <f t="shared" si="558"/>
        <v>4557</v>
      </c>
      <c r="P393" s="93">
        <f t="shared" si="559"/>
        <v>2.048</v>
      </c>
      <c r="Q393" s="112">
        <f t="shared" si="560"/>
        <v>6666.24</v>
      </c>
      <c r="R393" s="195"/>
      <c r="S393" s="195"/>
      <c r="T393" s="195"/>
      <c r="U393" s="195"/>
      <c r="V393" s="195"/>
      <c r="W393" s="195"/>
      <c r="X393" s="195"/>
      <c r="Y393" s="195"/>
      <c r="Z393" s="195"/>
      <c r="AA393" s="195"/>
      <c r="AB393" s="195"/>
      <c r="AC393" s="195"/>
      <c r="AD393" s="195"/>
      <c r="AE393" s="195"/>
      <c r="AF393" s="195"/>
      <c r="AG393" s="195"/>
      <c r="AH393" s="195"/>
      <c r="AI393" s="195"/>
      <c r="AJ393" s="195"/>
    </row>
    <row r="394" spans="1:36" s="31" customFormat="1">
      <c r="A394" s="55">
        <f>IF(F394&lt;&gt;"",1+MAX($A$2:A393),"")</f>
        <v>267</v>
      </c>
      <c r="B394" s="174"/>
      <c r="C394" s="60"/>
      <c r="D394" s="192" t="s">
        <v>333</v>
      </c>
      <c r="E394" s="156">
        <v>1033</v>
      </c>
      <c r="F394" s="124">
        <v>0.05</v>
      </c>
      <c r="G394" s="64">
        <f t="shared" si="542"/>
        <v>1084.6500000000001</v>
      </c>
      <c r="H394" s="150" t="s">
        <v>119</v>
      </c>
      <c r="I394" s="90">
        <v>1.7999999999999999E-2</v>
      </c>
      <c r="J394" s="91">
        <f t="shared" si="555"/>
        <v>19.523700000000002</v>
      </c>
      <c r="K394" s="92">
        <f>'LABOR SHEET'!C$8</f>
        <v>36</v>
      </c>
      <c r="L394" s="93">
        <f t="shared" si="556"/>
        <v>0.64800000000000002</v>
      </c>
      <c r="M394" s="93">
        <f t="shared" si="557"/>
        <v>702.85320000000002</v>
      </c>
      <c r="N394" s="93">
        <v>1.4</v>
      </c>
      <c r="O394" s="93">
        <f t="shared" si="558"/>
        <v>1518.51</v>
      </c>
      <c r="P394" s="93">
        <f t="shared" si="559"/>
        <v>2.048</v>
      </c>
      <c r="Q394" s="112">
        <f t="shared" si="560"/>
        <v>2221.3631999999998</v>
      </c>
      <c r="R394" s="195"/>
      <c r="S394" s="195"/>
      <c r="T394" s="195"/>
      <c r="U394" s="195"/>
      <c r="V394" s="195"/>
      <c r="W394" s="195"/>
      <c r="X394" s="195"/>
      <c r="Y394" s="195"/>
      <c r="Z394" s="195"/>
      <c r="AA394" s="195"/>
      <c r="AB394" s="195"/>
      <c r="AC394" s="195"/>
      <c r="AD394" s="195"/>
      <c r="AE394" s="195"/>
      <c r="AF394" s="195"/>
      <c r="AG394" s="195"/>
      <c r="AH394" s="195"/>
      <c r="AI394" s="195"/>
      <c r="AJ394" s="195"/>
    </row>
    <row r="395" spans="1:36" s="31" customFormat="1">
      <c r="A395" s="55">
        <f>IF(F395&lt;&gt;"",1+MAX($A$2:A394),"")</f>
        <v>268</v>
      </c>
      <c r="B395" s="174"/>
      <c r="C395" s="60"/>
      <c r="D395" s="192" t="s">
        <v>334</v>
      </c>
      <c r="E395" s="156">
        <v>3964</v>
      </c>
      <c r="F395" s="124">
        <v>0.05</v>
      </c>
      <c r="G395" s="64">
        <f t="shared" si="542"/>
        <v>4162.2</v>
      </c>
      <c r="H395" s="150" t="s">
        <v>119</v>
      </c>
      <c r="I395" s="90">
        <v>0.01</v>
      </c>
      <c r="J395" s="91">
        <f t="shared" si="555"/>
        <v>41.622</v>
      </c>
      <c r="K395" s="92">
        <f>'LABOR SHEET'!C$8</f>
        <v>36</v>
      </c>
      <c r="L395" s="93">
        <f t="shared" si="556"/>
        <v>0.36</v>
      </c>
      <c r="M395" s="93">
        <f t="shared" si="557"/>
        <v>1498.3920000000001</v>
      </c>
      <c r="N395" s="93">
        <v>0.5</v>
      </c>
      <c r="O395" s="93">
        <f t="shared" si="558"/>
        <v>2081.1</v>
      </c>
      <c r="P395" s="93">
        <f t="shared" si="559"/>
        <v>0.86</v>
      </c>
      <c r="Q395" s="112">
        <f t="shared" si="560"/>
        <v>3579.4920000000002</v>
      </c>
      <c r="R395" s="195"/>
      <c r="S395" s="195"/>
      <c r="T395" s="195"/>
      <c r="U395" s="195"/>
      <c r="V395" s="195"/>
      <c r="W395" s="195"/>
      <c r="X395" s="195"/>
      <c r="Y395" s="195"/>
      <c r="Z395" s="195"/>
      <c r="AA395" s="195"/>
      <c r="AB395" s="195"/>
      <c r="AC395" s="195"/>
      <c r="AD395" s="195"/>
      <c r="AE395" s="195"/>
      <c r="AF395" s="195"/>
      <c r="AG395" s="195"/>
      <c r="AH395" s="195"/>
      <c r="AI395" s="195"/>
      <c r="AJ395" s="195"/>
    </row>
    <row r="396" spans="1:36" s="31" customFormat="1">
      <c r="A396" s="55">
        <f>IF(F396&lt;&gt;"",1+MAX($A$2:A395),"")</f>
        <v>269</v>
      </c>
      <c r="B396" s="174"/>
      <c r="C396" s="60"/>
      <c r="D396" s="155" t="s">
        <v>335</v>
      </c>
      <c r="E396" s="156">
        <v>170</v>
      </c>
      <c r="F396" s="124">
        <v>0.05</v>
      </c>
      <c r="G396" s="64">
        <f t="shared" si="542"/>
        <v>178.5</v>
      </c>
      <c r="H396" s="150" t="s">
        <v>119</v>
      </c>
      <c r="I396" s="90">
        <v>1.6E-2</v>
      </c>
      <c r="J396" s="91">
        <f t="shared" si="555"/>
        <v>2.8559999999999999</v>
      </c>
      <c r="K396" s="92">
        <f>'LABOR SHEET'!C$8</f>
        <v>36</v>
      </c>
      <c r="L396" s="93">
        <f t="shared" si="556"/>
        <v>0.57599999999999996</v>
      </c>
      <c r="M396" s="93">
        <f t="shared" si="557"/>
        <v>102.816</v>
      </c>
      <c r="N396" s="93">
        <v>0.7</v>
      </c>
      <c r="O396" s="93">
        <f t="shared" si="558"/>
        <v>124.95</v>
      </c>
      <c r="P396" s="93">
        <f t="shared" si="559"/>
        <v>1.276</v>
      </c>
      <c r="Q396" s="112">
        <f t="shared" si="560"/>
        <v>227.76599999999999</v>
      </c>
      <c r="R396" s="195"/>
      <c r="S396" s="195"/>
      <c r="T396" s="195"/>
      <c r="U396" s="195"/>
      <c r="V396" s="195"/>
      <c r="W396" s="195"/>
      <c r="X396" s="195"/>
      <c r="Y396" s="195"/>
      <c r="Z396" s="195"/>
      <c r="AA396" s="195"/>
      <c r="AB396" s="195"/>
      <c r="AC396" s="195"/>
      <c r="AD396" s="195"/>
      <c r="AE396" s="195"/>
      <c r="AF396" s="195"/>
      <c r="AG396" s="195"/>
      <c r="AH396" s="195"/>
      <c r="AI396" s="195"/>
      <c r="AJ396" s="195"/>
    </row>
    <row r="397" spans="1:36" s="31" customFormat="1">
      <c r="A397" s="55" t="str">
        <f>IF(F397&lt;&gt;"",1+MAX($A$2:A396),"")</f>
        <v/>
      </c>
      <c r="B397" s="174"/>
      <c r="C397" s="60"/>
      <c r="D397" s="192"/>
      <c r="E397" s="148"/>
      <c r="F397" s="124"/>
      <c r="G397" s="145"/>
      <c r="H397" s="125"/>
      <c r="I397" s="90"/>
      <c r="J397" s="91"/>
      <c r="K397" s="92"/>
      <c r="L397" s="93"/>
      <c r="M397" s="93"/>
      <c r="N397" s="93"/>
      <c r="O397" s="93"/>
      <c r="P397" s="93"/>
      <c r="Q397" s="111"/>
      <c r="R397" s="195"/>
      <c r="S397" s="195"/>
      <c r="T397" s="195"/>
      <c r="U397" s="195"/>
      <c r="V397" s="195"/>
      <c r="W397" s="195"/>
      <c r="X397" s="195"/>
      <c r="Y397" s="195"/>
      <c r="Z397" s="195"/>
      <c r="AA397" s="195"/>
      <c r="AB397" s="195"/>
      <c r="AC397" s="195"/>
      <c r="AD397" s="195"/>
      <c r="AE397" s="195"/>
      <c r="AF397" s="195"/>
      <c r="AG397" s="195"/>
      <c r="AH397" s="195"/>
      <c r="AI397" s="195"/>
      <c r="AJ397" s="195"/>
    </row>
    <row r="398" spans="1:36" s="31" customFormat="1">
      <c r="A398" s="55" t="str">
        <f>IF(F398&lt;&gt;"",1+MAX($A$2:A397),"")</f>
        <v/>
      </c>
      <c r="B398" s="174"/>
      <c r="C398" s="60"/>
      <c r="D398" s="187" t="s">
        <v>339</v>
      </c>
      <c r="E398" s="188"/>
      <c r="F398" s="189"/>
      <c r="G398" s="190"/>
      <c r="H398" s="191"/>
      <c r="I398" s="90"/>
      <c r="J398" s="91"/>
      <c r="K398" s="92"/>
      <c r="L398" s="93"/>
      <c r="M398" s="93"/>
      <c r="N398" s="93"/>
      <c r="O398" s="93"/>
      <c r="P398" s="93"/>
      <c r="Q398" s="111"/>
      <c r="R398" s="195"/>
      <c r="S398" s="195"/>
      <c r="T398" s="195"/>
      <c r="U398" s="195"/>
      <c r="V398" s="195"/>
      <c r="W398" s="195"/>
      <c r="X398" s="195"/>
      <c r="Y398" s="195"/>
      <c r="Z398" s="195"/>
      <c r="AA398" s="195"/>
      <c r="AB398" s="195"/>
      <c r="AC398" s="195"/>
      <c r="AD398" s="195"/>
      <c r="AE398" s="195"/>
      <c r="AF398" s="195"/>
      <c r="AG398" s="195"/>
      <c r="AH398" s="195"/>
      <c r="AI398" s="195"/>
      <c r="AJ398" s="195"/>
    </row>
    <row r="399" spans="1:36" s="31" customFormat="1">
      <c r="A399" s="55">
        <f>IF(F399&lt;&gt;"",1+MAX($A$2:A398),"")</f>
        <v>270</v>
      </c>
      <c r="B399" s="174"/>
      <c r="C399" s="60"/>
      <c r="D399" s="192" t="s">
        <v>322</v>
      </c>
      <c r="E399" s="156">
        <v>3925.5</v>
      </c>
      <c r="F399" s="124">
        <v>0.1</v>
      </c>
      <c r="G399" s="64">
        <f t="shared" ref="G399:G413" si="573">(F399*E399)+E399</f>
        <v>4318.05</v>
      </c>
      <c r="H399" s="150" t="s">
        <v>67</v>
      </c>
      <c r="I399" s="90">
        <v>1.7000000000000001E-2</v>
      </c>
      <c r="J399" s="91">
        <f t="shared" ref="J399" si="574">+I399*G399</f>
        <v>73.406850000000006</v>
      </c>
      <c r="K399" s="92">
        <f>'LABOR SHEET'!C$8</f>
        <v>36</v>
      </c>
      <c r="L399" s="93">
        <f t="shared" ref="L399" si="575">I399*K399</f>
        <v>0.61199999999999999</v>
      </c>
      <c r="M399" s="93">
        <f t="shared" ref="M399" si="576">K399*J399</f>
        <v>2642.6466</v>
      </c>
      <c r="N399" s="93">
        <v>0.495</v>
      </c>
      <c r="O399" s="93">
        <f t="shared" ref="O399" si="577">N399*G399</f>
        <v>2137.4347499999999</v>
      </c>
      <c r="P399" s="93">
        <f t="shared" ref="P399" si="578">(I399*K399)+N399</f>
        <v>1.107</v>
      </c>
      <c r="Q399" s="112">
        <f t="shared" ref="Q399" si="579">P399*G399</f>
        <v>4780.0813500000004</v>
      </c>
      <c r="R399" s="195"/>
      <c r="S399" s="195"/>
      <c r="T399" s="195"/>
      <c r="U399" s="195"/>
      <c r="V399" s="195"/>
      <c r="W399" s="195"/>
      <c r="X399" s="195"/>
      <c r="Y399" s="195"/>
      <c r="Z399" s="195"/>
      <c r="AA399" s="195"/>
      <c r="AB399" s="195"/>
      <c r="AC399" s="195"/>
      <c r="AD399" s="195"/>
      <c r="AE399" s="195"/>
      <c r="AF399" s="195"/>
      <c r="AG399" s="195"/>
      <c r="AH399" s="195"/>
      <c r="AI399" s="195"/>
      <c r="AJ399" s="195"/>
    </row>
    <row r="400" spans="1:36" s="31" customFormat="1">
      <c r="A400" s="55">
        <f>IF(F400&lt;&gt;"",1+MAX($A$2:A399),"")</f>
        <v>271</v>
      </c>
      <c r="B400" s="174"/>
      <c r="C400" s="60"/>
      <c r="D400" s="147" t="s">
        <v>187</v>
      </c>
      <c r="E400" s="148">
        <f>ROUNDUP(E399/32,0)</f>
        <v>123</v>
      </c>
      <c r="F400" s="124">
        <v>0</v>
      </c>
      <c r="G400" s="64">
        <f t="shared" si="573"/>
        <v>123</v>
      </c>
      <c r="H400" s="125" t="s">
        <v>124</v>
      </c>
      <c r="I400" s="90"/>
      <c r="J400" s="91"/>
      <c r="K400" s="92"/>
      <c r="L400" s="93"/>
      <c r="M400" s="93"/>
      <c r="N400" s="93"/>
      <c r="O400" s="93"/>
      <c r="P400" s="93"/>
      <c r="Q400" s="112"/>
      <c r="R400" s="195"/>
      <c r="S400" s="195"/>
      <c r="T400" s="195"/>
      <c r="U400" s="195"/>
      <c r="V400" s="195"/>
      <c r="W400" s="195"/>
      <c r="X400" s="195"/>
      <c r="Y400" s="195"/>
      <c r="Z400" s="195"/>
      <c r="AA400" s="195"/>
      <c r="AB400" s="195"/>
      <c r="AC400" s="195"/>
      <c r="AD400" s="195"/>
      <c r="AE400" s="195"/>
      <c r="AF400" s="195"/>
      <c r="AG400" s="195"/>
      <c r="AH400" s="195"/>
      <c r="AI400" s="195"/>
      <c r="AJ400" s="195"/>
    </row>
    <row r="401" spans="1:36" s="31" customFormat="1">
      <c r="A401" s="55">
        <f>IF(F401&lt;&gt;"",1+MAX($A$2:A400),"")</f>
        <v>272</v>
      </c>
      <c r="B401" s="174"/>
      <c r="C401" s="60"/>
      <c r="D401" s="147" t="s">
        <v>323</v>
      </c>
      <c r="E401" s="148">
        <f>ROUNDUP(E399*1.33,0)</f>
        <v>5221</v>
      </c>
      <c r="F401" s="124">
        <v>0</v>
      </c>
      <c r="G401" s="64">
        <f t="shared" si="573"/>
        <v>5221</v>
      </c>
      <c r="H401" s="125" t="s">
        <v>124</v>
      </c>
      <c r="I401" s="90">
        <v>2E-3</v>
      </c>
      <c r="J401" s="91">
        <f t="shared" ref="J401:J404" si="580">+I401*G401</f>
        <v>10.442</v>
      </c>
      <c r="K401" s="92">
        <f>'LABOR SHEET'!C$8</f>
        <v>36</v>
      </c>
      <c r="L401" s="93">
        <f t="shared" ref="L401:L404" si="581">I401*K401</f>
        <v>7.1999999999999995E-2</v>
      </c>
      <c r="M401" s="93">
        <f t="shared" ref="M401:M404" si="582">K401*J401</f>
        <v>375.91199999999998</v>
      </c>
      <c r="N401" s="151">
        <v>0.06</v>
      </c>
      <c r="O401" s="93">
        <f t="shared" ref="O401:O404" si="583">N401*G401</f>
        <v>313.26</v>
      </c>
      <c r="P401" s="93">
        <f t="shared" ref="P401:P404" si="584">(I401*K401)+N401</f>
        <v>0.13200000000000001</v>
      </c>
      <c r="Q401" s="112">
        <f t="shared" ref="Q401:Q404" si="585">P401*G401</f>
        <v>689.17200000000003</v>
      </c>
      <c r="R401" s="195"/>
      <c r="S401" s="195"/>
      <c r="T401" s="195"/>
      <c r="U401" s="195"/>
      <c r="V401" s="195"/>
      <c r="W401" s="195"/>
      <c r="X401" s="195"/>
      <c r="Y401" s="195"/>
      <c r="Z401" s="195"/>
      <c r="AA401" s="195"/>
      <c r="AB401" s="195"/>
      <c r="AC401" s="195"/>
      <c r="AD401" s="195"/>
      <c r="AE401" s="195"/>
      <c r="AF401" s="195"/>
      <c r="AG401" s="195"/>
      <c r="AH401" s="195"/>
      <c r="AI401" s="195"/>
      <c r="AJ401" s="195"/>
    </row>
    <row r="402" spans="1:36" s="31" customFormat="1">
      <c r="A402" s="55">
        <f>IF(F402&lt;&gt;"",1+MAX($A$2:A401),"")</f>
        <v>273</v>
      </c>
      <c r="B402" s="174"/>
      <c r="C402" s="60"/>
      <c r="D402" s="147" t="s">
        <v>324</v>
      </c>
      <c r="E402" s="148">
        <f>ROUNDUP(E400*16,0)</f>
        <v>1968</v>
      </c>
      <c r="F402" s="124">
        <v>0.05</v>
      </c>
      <c r="G402" s="64">
        <f t="shared" si="573"/>
        <v>2066.4</v>
      </c>
      <c r="H402" s="125" t="s">
        <v>119</v>
      </c>
      <c r="I402" s="90">
        <v>1.0999999999999999E-2</v>
      </c>
      <c r="J402" s="91">
        <f t="shared" si="580"/>
        <v>22.730399999999999</v>
      </c>
      <c r="K402" s="92">
        <f>'LABOR SHEET'!C$8</f>
        <v>36</v>
      </c>
      <c r="L402" s="93">
        <f t="shared" si="581"/>
        <v>0.39600000000000002</v>
      </c>
      <c r="M402" s="93">
        <f t="shared" si="582"/>
        <v>818.2944</v>
      </c>
      <c r="N402" s="151">
        <v>0.03</v>
      </c>
      <c r="O402" s="93">
        <f t="shared" si="583"/>
        <v>61.991999999999997</v>
      </c>
      <c r="P402" s="93">
        <f t="shared" si="584"/>
        <v>0.42599999999999999</v>
      </c>
      <c r="Q402" s="112">
        <f t="shared" si="585"/>
        <v>880.28639999999996</v>
      </c>
      <c r="R402" s="195"/>
      <c r="S402" s="195"/>
      <c r="T402" s="195"/>
      <c r="U402" s="195"/>
      <c r="V402" s="195"/>
      <c r="W402" s="195"/>
      <c r="X402" s="195"/>
      <c r="Y402" s="195"/>
      <c r="Z402" s="195"/>
      <c r="AA402" s="195"/>
      <c r="AB402" s="195"/>
      <c r="AC402" s="195"/>
      <c r="AD402" s="195"/>
      <c r="AE402" s="195"/>
      <c r="AF402" s="195"/>
      <c r="AG402" s="195"/>
      <c r="AH402" s="195"/>
      <c r="AI402" s="195"/>
      <c r="AJ402" s="195"/>
    </row>
    <row r="403" spans="1:36" s="31" customFormat="1">
      <c r="A403" s="55">
        <f>IF(F403&lt;&gt;"",1+MAX($A$2:A402),"")</f>
        <v>274</v>
      </c>
      <c r="B403" s="174"/>
      <c r="C403" s="60"/>
      <c r="D403" s="147" t="s">
        <v>325</v>
      </c>
      <c r="E403" s="148">
        <f>E399*0.084</f>
        <v>329.74200000000002</v>
      </c>
      <c r="F403" s="59">
        <v>0.05</v>
      </c>
      <c r="G403" s="64">
        <f t="shared" si="573"/>
        <v>346.22910000000002</v>
      </c>
      <c r="H403" s="125" t="s">
        <v>326</v>
      </c>
      <c r="I403" s="90">
        <v>0.11</v>
      </c>
      <c r="J403" s="91">
        <f t="shared" si="580"/>
        <v>38.085200999999998</v>
      </c>
      <c r="K403" s="92">
        <f>'LABOR SHEET'!C$8</f>
        <v>36</v>
      </c>
      <c r="L403" s="93">
        <f t="shared" si="581"/>
        <v>3.96</v>
      </c>
      <c r="M403" s="93">
        <f t="shared" si="582"/>
        <v>1371.0672360000001</v>
      </c>
      <c r="N403" s="93">
        <v>0.5</v>
      </c>
      <c r="O403" s="93">
        <f t="shared" si="583"/>
        <v>173.11455000000001</v>
      </c>
      <c r="P403" s="93">
        <f t="shared" si="584"/>
        <v>4.46</v>
      </c>
      <c r="Q403" s="112">
        <f t="shared" si="585"/>
        <v>1544.1817860000001</v>
      </c>
      <c r="R403" s="195"/>
      <c r="S403" s="195"/>
      <c r="T403" s="195"/>
      <c r="U403" s="195"/>
      <c r="V403" s="195"/>
      <c r="W403" s="195"/>
      <c r="X403" s="195"/>
      <c r="Y403" s="195"/>
      <c r="Z403" s="195"/>
      <c r="AA403" s="195"/>
      <c r="AB403" s="195"/>
      <c r="AC403" s="195"/>
      <c r="AD403" s="195"/>
      <c r="AE403" s="195"/>
      <c r="AF403" s="195"/>
      <c r="AG403" s="195"/>
      <c r="AH403" s="195"/>
      <c r="AI403" s="195"/>
      <c r="AJ403" s="195"/>
    </row>
    <row r="404" spans="1:36" s="31" customFormat="1">
      <c r="A404" s="55">
        <f>IF(F404&lt;&gt;"",1+MAX($A$2:A403),"")</f>
        <v>275</v>
      </c>
      <c r="B404" s="174"/>
      <c r="C404" s="60"/>
      <c r="D404" s="192" t="s">
        <v>328</v>
      </c>
      <c r="E404" s="156">
        <v>414.125</v>
      </c>
      <c r="F404" s="124">
        <v>0.1</v>
      </c>
      <c r="G404" s="64">
        <f t="shared" si="573"/>
        <v>455.53750000000002</v>
      </c>
      <c r="H404" s="150" t="s">
        <v>67</v>
      </c>
      <c r="I404" s="90">
        <v>1.9E-2</v>
      </c>
      <c r="J404" s="91">
        <f t="shared" si="580"/>
        <v>8.6552124999999993</v>
      </c>
      <c r="K404" s="92">
        <f>'LABOR SHEET'!C$8</f>
        <v>36</v>
      </c>
      <c r="L404" s="93">
        <f t="shared" si="581"/>
        <v>0.68400000000000005</v>
      </c>
      <c r="M404" s="93">
        <f t="shared" si="582"/>
        <v>311.58765</v>
      </c>
      <c r="N404" s="93">
        <v>0.74</v>
      </c>
      <c r="O404" s="93">
        <f t="shared" si="583"/>
        <v>337.09775000000002</v>
      </c>
      <c r="P404" s="93">
        <f t="shared" si="584"/>
        <v>1.4239999999999999</v>
      </c>
      <c r="Q404" s="112">
        <f t="shared" si="585"/>
        <v>648.68539999999996</v>
      </c>
      <c r="R404" s="195"/>
      <c r="S404" s="195"/>
      <c r="T404" s="195"/>
      <c r="U404" s="195"/>
      <c r="V404" s="195"/>
      <c r="W404" s="195"/>
      <c r="X404" s="195"/>
      <c r="Y404" s="195"/>
      <c r="Z404" s="195"/>
      <c r="AA404" s="195"/>
      <c r="AB404" s="195"/>
      <c r="AC404" s="195"/>
      <c r="AD404" s="195"/>
      <c r="AE404" s="195"/>
      <c r="AF404" s="195"/>
      <c r="AG404" s="195"/>
      <c r="AH404" s="195"/>
      <c r="AI404" s="195"/>
      <c r="AJ404" s="195"/>
    </row>
    <row r="405" spans="1:36" s="31" customFormat="1">
      <c r="A405" s="55">
        <f>IF(F405&lt;&gt;"",1+MAX($A$2:A404),"")</f>
        <v>276</v>
      </c>
      <c r="B405" s="174"/>
      <c r="C405" s="60"/>
      <c r="D405" s="147" t="s">
        <v>187</v>
      </c>
      <c r="E405" s="148">
        <f>ROUNDUP(E404/32,0)</f>
        <v>13</v>
      </c>
      <c r="F405" s="124">
        <v>0</v>
      </c>
      <c r="G405" s="64">
        <f t="shared" si="573"/>
        <v>13</v>
      </c>
      <c r="H405" s="125" t="s">
        <v>124</v>
      </c>
      <c r="I405" s="90"/>
      <c r="J405" s="91"/>
      <c r="K405" s="92"/>
      <c r="L405" s="93"/>
      <c r="M405" s="93"/>
      <c r="N405" s="93"/>
      <c r="O405" s="93"/>
      <c r="P405" s="93"/>
      <c r="Q405" s="112"/>
      <c r="R405" s="195"/>
      <c r="S405" s="195"/>
      <c r="T405" s="195"/>
      <c r="U405" s="195"/>
      <c r="V405" s="195"/>
      <c r="W405" s="195"/>
      <c r="X405" s="195"/>
      <c r="Y405" s="195"/>
      <c r="Z405" s="195"/>
      <c r="AA405" s="195"/>
      <c r="AB405" s="195"/>
      <c r="AC405" s="195"/>
      <c r="AD405" s="195"/>
      <c r="AE405" s="195"/>
      <c r="AF405" s="195"/>
      <c r="AG405" s="195"/>
      <c r="AH405" s="195"/>
      <c r="AI405" s="195"/>
      <c r="AJ405" s="195"/>
    </row>
    <row r="406" spans="1:36" s="31" customFormat="1">
      <c r="A406" s="55">
        <f>IF(F406&lt;&gt;"",1+MAX($A$2:A405),"")</f>
        <v>277</v>
      </c>
      <c r="B406" s="174"/>
      <c r="C406" s="60"/>
      <c r="D406" s="147" t="s">
        <v>323</v>
      </c>
      <c r="E406" s="148">
        <f>ROUNDUP(E404*1.33,0)</f>
        <v>551</v>
      </c>
      <c r="F406" s="124">
        <v>0</v>
      </c>
      <c r="G406" s="64">
        <f t="shared" si="573"/>
        <v>551</v>
      </c>
      <c r="H406" s="125" t="s">
        <v>124</v>
      </c>
      <c r="I406" s="90">
        <v>2E-3</v>
      </c>
      <c r="J406" s="91">
        <f t="shared" ref="J406:J409" si="586">+I406*G406</f>
        <v>1.1020000000000001</v>
      </c>
      <c r="K406" s="92">
        <f>'LABOR SHEET'!C$8</f>
        <v>36</v>
      </c>
      <c r="L406" s="93">
        <f t="shared" ref="L406:L409" si="587">I406*K406</f>
        <v>7.1999999999999995E-2</v>
      </c>
      <c r="M406" s="93">
        <f t="shared" ref="M406:M409" si="588">K406*J406</f>
        <v>39.671999999999997</v>
      </c>
      <c r="N406" s="151">
        <v>0.06</v>
      </c>
      <c r="O406" s="93">
        <f t="shared" ref="O406:O409" si="589">N406*G406</f>
        <v>33.06</v>
      </c>
      <c r="P406" s="93">
        <f t="shared" ref="P406:P409" si="590">(I406*K406)+N406</f>
        <v>0.13200000000000001</v>
      </c>
      <c r="Q406" s="112">
        <f t="shared" ref="Q406:Q409" si="591">P406*G406</f>
        <v>72.731999999999999</v>
      </c>
      <c r="R406" s="195"/>
      <c r="S406" s="195"/>
      <c r="T406" s="195"/>
      <c r="U406" s="195"/>
      <c r="V406" s="195"/>
      <c r="W406" s="195"/>
      <c r="X406" s="195"/>
      <c r="Y406" s="195"/>
      <c r="Z406" s="195"/>
      <c r="AA406" s="195"/>
      <c r="AB406" s="195"/>
      <c r="AC406" s="195"/>
      <c r="AD406" s="195"/>
      <c r="AE406" s="195"/>
      <c r="AF406" s="195"/>
      <c r="AG406" s="195"/>
      <c r="AH406" s="195"/>
      <c r="AI406" s="195"/>
      <c r="AJ406" s="195"/>
    </row>
    <row r="407" spans="1:36" s="31" customFormat="1">
      <c r="A407" s="55">
        <f>IF(F407&lt;&gt;"",1+MAX($A$2:A406),"")</f>
        <v>278</v>
      </c>
      <c r="B407" s="174"/>
      <c r="C407" s="60"/>
      <c r="D407" s="147" t="s">
        <v>324</v>
      </c>
      <c r="E407" s="148">
        <f>ROUNDUP(E405*16,0)</f>
        <v>208</v>
      </c>
      <c r="F407" s="124">
        <v>0.05</v>
      </c>
      <c r="G407" s="64">
        <f t="shared" si="573"/>
        <v>218.4</v>
      </c>
      <c r="H407" s="125" t="s">
        <v>119</v>
      </c>
      <c r="I407" s="90">
        <v>1.0999999999999999E-2</v>
      </c>
      <c r="J407" s="91">
        <f t="shared" si="586"/>
        <v>2.4024000000000001</v>
      </c>
      <c r="K407" s="92">
        <f>'LABOR SHEET'!C$8</f>
        <v>36</v>
      </c>
      <c r="L407" s="93">
        <f t="shared" si="587"/>
        <v>0.39600000000000002</v>
      </c>
      <c r="M407" s="93">
        <f t="shared" si="588"/>
        <v>86.486400000000003</v>
      </c>
      <c r="N407" s="151">
        <v>0.03</v>
      </c>
      <c r="O407" s="93">
        <f t="shared" si="589"/>
        <v>6.5519999999999996</v>
      </c>
      <c r="P407" s="93">
        <f t="shared" si="590"/>
        <v>0.42599999999999999</v>
      </c>
      <c r="Q407" s="112">
        <f t="shared" si="591"/>
        <v>93.038399999999996</v>
      </c>
      <c r="R407" s="195"/>
      <c r="S407" s="195"/>
      <c r="T407" s="195"/>
      <c r="U407" s="195"/>
      <c r="V407" s="195"/>
      <c r="W407" s="195"/>
      <c r="X407" s="195"/>
      <c r="Y407" s="195"/>
      <c r="Z407" s="195"/>
      <c r="AA407" s="195"/>
      <c r="AB407" s="195"/>
      <c r="AC407" s="195"/>
      <c r="AD407" s="195"/>
      <c r="AE407" s="195"/>
      <c r="AF407" s="195"/>
      <c r="AG407" s="195"/>
      <c r="AH407" s="195"/>
      <c r="AI407" s="195"/>
      <c r="AJ407" s="195"/>
    </row>
    <row r="408" spans="1:36" s="31" customFormat="1">
      <c r="A408" s="55">
        <f>IF(F408&lt;&gt;"",1+MAX($A$2:A407),"")</f>
        <v>279</v>
      </c>
      <c r="B408" s="174"/>
      <c r="C408" s="60"/>
      <c r="D408" s="147" t="s">
        <v>325</v>
      </c>
      <c r="E408" s="148">
        <f>E404*0.084</f>
        <v>34.786499999999997</v>
      </c>
      <c r="F408" s="59">
        <v>0.05</v>
      </c>
      <c r="G408" s="64">
        <f t="shared" si="573"/>
        <v>36.525824999999998</v>
      </c>
      <c r="H408" s="125" t="s">
        <v>326</v>
      </c>
      <c r="I408" s="90">
        <v>0.11</v>
      </c>
      <c r="J408" s="91">
        <f t="shared" si="586"/>
        <v>4.0178407500000004</v>
      </c>
      <c r="K408" s="92">
        <f>'LABOR SHEET'!C$8</f>
        <v>36</v>
      </c>
      <c r="L408" s="93">
        <f t="shared" si="587"/>
        <v>3.96</v>
      </c>
      <c r="M408" s="93">
        <f t="shared" si="588"/>
        <v>144.642267</v>
      </c>
      <c r="N408" s="93">
        <v>0.5</v>
      </c>
      <c r="O408" s="93">
        <f t="shared" si="589"/>
        <v>18.262912499999999</v>
      </c>
      <c r="P408" s="93">
        <f t="shared" si="590"/>
        <v>4.46</v>
      </c>
      <c r="Q408" s="112">
        <f t="shared" si="591"/>
        <v>162.9051795</v>
      </c>
      <c r="R408" s="195"/>
      <c r="S408" s="195"/>
      <c r="T408" s="195"/>
      <c r="U408" s="195"/>
      <c r="V408" s="195"/>
      <c r="W408" s="195"/>
      <c r="X408" s="195"/>
      <c r="Y408" s="195"/>
      <c r="Z408" s="195"/>
      <c r="AA408" s="195"/>
      <c r="AB408" s="195"/>
      <c r="AC408" s="195"/>
      <c r="AD408" s="195"/>
      <c r="AE408" s="195"/>
      <c r="AF408" s="195"/>
      <c r="AG408" s="195"/>
      <c r="AH408" s="195"/>
      <c r="AI408" s="195"/>
      <c r="AJ408" s="195"/>
    </row>
    <row r="409" spans="1:36" s="31" customFormat="1">
      <c r="A409" s="55">
        <f>IF(F409&lt;&gt;"",1+MAX($A$2:A408),"")</f>
        <v>280</v>
      </c>
      <c r="B409" s="174"/>
      <c r="C409" s="60"/>
      <c r="D409" s="155" t="s">
        <v>338</v>
      </c>
      <c r="E409" s="156">
        <v>4340</v>
      </c>
      <c r="F409" s="124">
        <v>0.1</v>
      </c>
      <c r="G409" s="64">
        <f t="shared" si="573"/>
        <v>4774</v>
      </c>
      <c r="H409" s="150" t="s">
        <v>67</v>
      </c>
      <c r="I409" s="90">
        <v>1.2E-2</v>
      </c>
      <c r="J409" s="91">
        <f t="shared" si="586"/>
        <v>57.287999999999997</v>
      </c>
      <c r="K409" s="92">
        <f>'LABOR SHEET'!C$8</f>
        <v>36</v>
      </c>
      <c r="L409" s="93">
        <f t="shared" si="587"/>
        <v>0.432</v>
      </c>
      <c r="M409" s="93">
        <f t="shared" si="588"/>
        <v>2062.3679999999999</v>
      </c>
      <c r="N409" s="93">
        <v>1.22</v>
      </c>
      <c r="O409" s="93">
        <f t="shared" si="589"/>
        <v>5824.28</v>
      </c>
      <c r="P409" s="93">
        <f t="shared" si="590"/>
        <v>1.6519999999999999</v>
      </c>
      <c r="Q409" s="112">
        <f t="shared" si="591"/>
        <v>7886.6480000000001</v>
      </c>
      <c r="R409" s="195"/>
      <c r="S409" s="195"/>
      <c r="T409" s="195"/>
      <c r="U409" s="195"/>
      <c r="V409" s="195"/>
      <c r="W409" s="195"/>
      <c r="X409" s="195"/>
      <c r="Y409" s="195"/>
      <c r="Z409" s="195"/>
      <c r="AA409" s="195"/>
      <c r="AB409" s="195"/>
      <c r="AC409" s="195"/>
      <c r="AD409" s="195"/>
      <c r="AE409" s="195"/>
      <c r="AF409" s="195"/>
      <c r="AG409" s="195"/>
      <c r="AH409" s="195"/>
      <c r="AI409" s="195"/>
      <c r="AJ409" s="195"/>
    </row>
    <row r="410" spans="1:36" s="31" customFormat="1">
      <c r="A410" s="55">
        <f>IF(F410&lt;&gt;"",1+MAX($A$2:A409),"")</f>
        <v>281</v>
      </c>
      <c r="B410" s="174"/>
      <c r="C410" s="60"/>
      <c r="D410" s="192" t="s">
        <v>317</v>
      </c>
      <c r="E410" s="156">
        <v>3288</v>
      </c>
      <c r="F410" s="124">
        <v>0.05</v>
      </c>
      <c r="G410" s="64">
        <f t="shared" si="573"/>
        <v>3452.4</v>
      </c>
      <c r="H410" s="150" t="s">
        <v>119</v>
      </c>
      <c r="I410" s="90">
        <v>1.7999999999999999E-2</v>
      </c>
      <c r="J410" s="91">
        <f t="shared" ref="J410:J413" si="592">+I410*G410</f>
        <v>62.1432</v>
      </c>
      <c r="K410" s="92">
        <f>'LABOR SHEET'!C$8</f>
        <v>36</v>
      </c>
      <c r="L410" s="93">
        <f t="shared" ref="L410:L413" si="593">I410*K410</f>
        <v>0.64800000000000002</v>
      </c>
      <c r="M410" s="93">
        <f t="shared" ref="M410:M413" si="594">K410*J410</f>
        <v>2237.1552000000001</v>
      </c>
      <c r="N410" s="93">
        <v>1.4</v>
      </c>
      <c r="O410" s="93">
        <f t="shared" ref="O410:O413" si="595">N410*G410</f>
        <v>4833.3599999999997</v>
      </c>
      <c r="P410" s="93">
        <f t="shared" ref="P410:P413" si="596">(I410*K410)+N410</f>
        <v>2.048</v>
      </c>
      <c r="Q410" s="112">
        <f t="shared" ref="Q410:Q413" si="597">P410*G410</f>
        <v>7070.5151999999998</v>
      </c>
      <c r="R410" s="195"/>
      <c r="S410" s="195"/>
      <c r="T410" s="195"/>
      <c r="U410" s="195"/>
      <c r="V410" s="195"/>
      <c r="W410" s="195"/>
      <c r="X410" s="195"/>
      <c r="Y410" s="195"/>
      <c r="Z410" s="195"/>
      <c r="AA410" s="195"/>
      <c r="AB410" s="195"/>
      <c r="AC410" s="195"/>
      <c r="AD410" s="195"/>
      <c r="AE410" s="195"/>
      <c r="AF410" s="195"/>
      <c r="AG410" s="195"/>
      <c r="AH410" s="195"/>
      <c r="AI410" s="195"/>
      <c r="AJ410" s="195"/>
    </row>
    <row r="411" spans="1:36" s="31" customFormat="1">
      <c r="A411" s="55">
        <f>IF(F411&lt;&gt;"",1+MAX($A$2:A410),"")</f>
        <v>282</v>
      </c>
      <c r="B411" s="174"/>
      <c r="C411" s="60"/>
      <c r="D411" s="192" t="s">
        <v>332</v>
      </c>
      <c r="E411" s="156">
        <v>1042</v>
      </c>
      <c r="F411" s="124">
        <v>0.05</v>
      </c>
      <c r="G411" s="64">
        <f t="shared" si="573"/>
        <v>1094.0999999999999</v>
      </c>
      <c r="H411" s="150" t="s">
        <v>119</v>
      </c>
      <c r="I411" s="90">
        <v>1.7999999999999999E-2</v>
      </c>
      <c r="J411" s="91">
        <f t="shared" si="592"/>
        <v>19.6938</v>
      </c>
      <c r="K411" s="92">
        <f>'LABOR SHEET'!C$8</f>
        <v>36</v>
      </c>
      <c r="L411" s="93">
        <f t="shared" si="593"/>
        <v>0.64800000000000002</v>
      </c>
      <c r="M411" s="93">
        <f t="shared" si="594"/>
        <v>708.97680000000003</v>
      </c>
      <c r="N411" s="93">
        <v>1.4</v>
      </c>
      <c r="O411" s="93">
        <f t="shared" si="595"/>
        <v>1531.74</v>
      </c>
      <c r="P411" s="93">
        <f t="shared" si="596"/>
        <v>2.048</v>
      </c>
      <c r="Q411" s="112">
        <f t="shared" si="597"/>
        <v>2240.7168000000001</v>
      </c>
      <c r="R411" s="195"/>
      <c r="S411" s="195"/>
      <c r="T411" s="195"/>
      <c r="U411" s="195"/>
      <c r="V411" s="195"/>
      <c r="W411" s="195"/>
      <c r="X411" s="195"/>
      <c r="Y411" s="195"/>
      <c r="Z411" s="195"/>
      <c r="AA411" s="195"/>
      <c r="AB411" s="195"/>
      <c r="AC411" s="195"/>
      <c r="AD411" s="195"/>
      <c r="AE411" s="195"/>
      <c r="AF411" s="195"/>
      <c r="AG411" s="195"/>
      <c r="AH411" s="195"/>
      <c r="AI411" s="195"/>
      <c r="AJ411" s="195"/>
    </row>
    <row r="412" spans="1:36" s="31" customFormat="1">
      <c r="A412" s="55">
        <f>IF(F412&lt;&gt;"",1+MAX($A$2:A411),"")</f>
        <v>283</v>
      </c>
      <c r="B412" s="174"/>
      <c r="C412" s="60"/>
      <c r="D412" s="192" t="s">
        <v>333</v>
      </c>
      <c r="E412" s="156">
        <v>347</v>
      </c>
      <c r="F412" s="124">
        <v>0.05</v>
      </c>
      <c r="G412" s="64">
        <f t="shared" si="573"/>
        <v>364.35</v>
      </c>
      <c r="H412" s="150" t="s">
        <v>119</v>
      </c>
      <c r="I412" s="90">
        <v>1.7999999999999999E-2</v>
      </c>
      <c r="J412" s="91">
        <f t="shared" si="592"/>
        <v>6.5583</v>
      </c>
      <c r="K412" s="92">
        <f>'LABOR SHEET'!C$8</f>
        <v>36</v>
      </c>
      <c r="L412" s="93">
        <f t="shared" si="593"/>
        <v>0.64800000000000002</v>
      </c>
      <c r="M412" s="93">
        <f t="shared" si="594"/>
        <v>236.09880000000001</v>
      </c>
      <c r="N412" s="93">
        <v>1.4</v>
      </c>
      <c r="O412" s="93">
        <f t="shared" si="595"/>
        <v>510.09</v>
      </c>
      <c r="P412" s="93">
        <f t="shared" si="596"/>
        <v>2.048</v>
      </c>
      <c r="Q412" s="112">
        <f t="shared" si="597"/>
        <v>746.18880000000001</v>
      </c>
      <c r="R412" s="195"/>
      <c r="S412" s="195"/>
      <c r="T412" s="195"/>
      <c r="U412" s="195"/>
      <c r="V412" s="195"/>
      <c r="W412" s="195"/>
      <c r="X412" s="195"/>
      <c r="Y412" s="195"/>
      <c r="Z412" s="195"/>
      <c r="AA412" s="195"/>
      <c r="AB412" s="195"/>
      <c r="AC412" s="195"/>
      <c r="AD412" s="195"/>
      <c r="AE412" s="195"/>
      <c r="AF412" s="195"/>
      <c r="AG412" s="195"/>
      <c r="AH412" s="195"/>
      <c r="AI412" s="195"/>
      <c r="AJ412" s="195"/>
    </row>
    <row r="413" spans="1:36" s="31" customFormat="1">
      <c r="A413" s="55">
        <f>IF(F413&lt;&gt;"",1+MAX($A$2:A412),"")</f>
        <v>284</v>
      </c>
      <c r="B413" s="174"/>
      <c r="C413" s="60"/>
      <c r="D413" s="192" t="s">
        <v>334</v>
      </c>
      <c r="E413" s="156">
        <v>694</v>
      </c>
      <c r="F413" s="124">
        <v>0.05</v>
      </c>
      <c r="G413" s="64">
        <f t="shared" si="573"/>
        <v>728.7</v>
      </c>
      <c r="H413" s="150" t="s">
        <v>119</v>
      </c>
      <c r="I413" s="90">
        <v>0.01</v>
      </c>
      <c r="J413" s="91">
        <f t="shared" si="592"/>
        <v>7.2869999999999999</v>
      </c>
      <c r="K413" s="92">
        <f>'LABOR SHEET'!C$8</f>
        <v>36</v>
      </c>
      <c r="L413" s="93">
        <f t="shared" si="593"/>
        <v>0.36</v>
      </c>
      <c r="M413" s="93">
        <f t="shared" si="594"/>
        <v>262.33199999999999</v>
      </c>
      <c r="N413" s="93">
        <v>0.5</v>
      </c>
      <c r="O413" s="93">
        <f t="shared" si="595"/>
        <v>364.35</v>
      </c>
      <c r="P413" s="93">
        <f t="shared" si="596"/>
        <v>0.86</v>
      </c>
      <c r="Q413" s="112">
        <f t="shared" si="597"/>
        <v>626.68200000000002</v>
      </c>
      <c r="R413" s="195"/>
      <c r="S413" s="195"/>
      <c r="T413" s="195"/>
      <c r="U413" s="195"/>
      <c r="V413" s="195"/>
      <c r="W413" s="195"/>
      <c r="X413" s="195"/>
      <c r="Y413" s="195"/>
      <c r="Z413" s="195"/>
      <c r="AA413" s="195"/>
      <c r="AB413" s="195"/>
      <c r="AC413" s="195"/>
      <c r="AD413" s="195"/>
      <c r="AE413" s="195"/>
      <c r="AF413" s="195"/>
      <c r="AG413" s="195"/>
      <c r="AH413" s="195"/>
      <c r="AI413" s="195"/>
      <c r="AJ413" s="195"/>
    </row>
    <row r="414" spans="1:36" s="31" customFormat="1">
      <c r="A414" s="55" t="str">
        <f>IF(F414&lt;&gt;"",1+MAX($A$2:A413),"")</f>
        <v/>
      </c>
      <c r="B414" s="174"/>
      <c r="C414" s="60"/>
      <c r="D414" s="192"/>
      <c r="E414" s="148"/>
      <c r="F414" s="124"/>
      <c r="G414" s="145"/>
      <c r="H414" s="125"/>
      <c r="I414" s="90"/>
      <c r="J414" s="91"/>
      <c r="K414" s="92"/>
      <c r="L414" s="93"/>
      <c r="M414" s="93"/>
      <c r="N414" s="93"/>
      <c r="O414" s="93"/>
      <c r="P414" s="93"/>
      <c r="Q414" s="111"/>
      <c r="R414" s="195"/>
      <c r="S414" s="195"/>
      <c r="T414" s="195"/>
      <c r="U414" s="195"/>
      <c r="V414" s="195"/>
      <c r="W414" s="195"/>
      <c r="X414" s="195"/>
      <c r="Y414" s="195"/>
      <c r="Z414" s="195"/>
      <c r="AA414" s="195"/>
      <c r="AB414" s="195"/>
      <c r="AC414" s="195"/>
      <c r="AD414" s="195"/>
      <c r="AE414" s="195"/>
      <c r="AF414" s="195"/>
      <c r="AG414" s="195"/>
      <c r="AH414" s="195"/>
      <c r="AI414" s="195"/>
      <c r="AJ414" s="195"/>
    </row>
    <row r="415" spans="1:36" s="31" customFormat="1">
      <c r="A415" s="55" t="str">
        <f>IF(F415&lt;&gt;"",1+MAX($A$2:A414),"")</f>
        <v/>
      </c>
      <c r="B415" s="174"/>
      <c r="C415" s="60"/>
      <c r="D415" s="187" t="s">
        <v>340</v>
      </c>
      <c r="E415" s="188"/>
      <c r="F415" s="189"/>
      <c r="G415" s="190"/>
      <c r="H415" s="191"/>
      <c r="I415" s="90"/>
      <c r="J415" s="91"/>
      <c r="K415" s="92"/>
      <c r="L415" s="93"/>
      <c r="M415" s="93"/>
      <c r="N415" s="93"/>
      <c r="O415" s="93"/>
      <c r="P415" s="93"/>
      <c r="Q415" s="111"/>
      <c r="R415" s="195"/>
      <c r="S415" s="195"/>
      <c r="T415" s="195"/>
      <c r="U415" s="195"/>
      <c r="V415" s="195"/>
      <c r="W415" s="195"/>
      <c r="X415" s="195"/>
      <c r="Y415" s="195"/>
      <c r="Z415" s="195"/>
      <c r="AA415" s="195"/>
      <c r="AB415" s="195"/>
      <c r="AC415" s="195"/>
      <c r="AD415" s="195"/>
      <c r="AE415" s="195"/>
      <c r="AF415" s="195"/>
      <c r="AG415" s="195"/>
      <c r="AH415" s="195"/>
      <c r="AI415" s="195"/>
      <c r="AJ415" s="195"/>
    </row>
    <row r="416" spans="1:36" s="31" customFormat="1">
      <c r="A416" s="55">
        <f>IF(F416&lt;&gt;"",1+MAX($A$2:A415),"")</f>
        <v>285</v>
      </c>
      <c r="B416" s="174"/>
      <c r="C416" s="60"/>
      <c r="D416" s="192" t="s">
        <v>322</v>
      </c>
      <c r="E416" s="156">
        <v>5668</v>
      </c>
      <c r="F416" s="124">
        <v>0.1</v>
      </c>
      <c r="G416" s="64">
        <f t="shared" ref="G416:G430" si="598">(F416*E416)+E416</f>
        <v>6234.8</v>
      </c>
      <c r="H416" s="150" t="s">
        <v>67</v>
      </c>
      <c r="I416" s="90">
        <v>1.7000000000000001E-2</v>
      </c>
      <c r="J416" s="91">
        <f t="shared" ref="J416" si="599">+I416*G416</f>
        <v>105.99160000000001</v>
      </c>
      <c r="K416" s="92">
        <f>'LABOR SHEET'!C$8</f>
        <v>36</v>
      </c>
      <c r="L416" s="93">
        <f t="shared" ref="L416" si="600">I416*K416</f>
        <v>0.61199999999999999</v>
      </c>
      <c r="M416" s="93">
        <f t="shared" ref="M416" si="601">K416*J416</f>
        <v>3815.6976</v>
      </c>
      <c r="N416" s="93">
        <v>0.495</v>
      </c>
      <c r="O416" s="93">
        <f t="shared" ref="O416" si="602">N416*G416</f>
        <v>3086.2260000000001</v>
      </c>
      <c r="P416" s="93">
        <f t="shared" ref="P416" si="603">(I416*K416)+N416</f>
        <v>1.107</v>
      </c>
      <c r="Q416" s="112">
        <f t="shared" ref="Q416" si="604">P416*G416</f>
        <v>6901.9236000000001</v>
      </c>
      <c r="R416" s="195"/>
      <c r="S416" s="195"/>
      <c r="T416" s="195"/>
      <c r="U416" s="195"/>
      <c r="V416" s="195"/>
      <c r="W416" s="195"/>
      <c r="X416" s="195"/>
      <c r="Y416" s="195"/>
      <c r="Z416" s="195"/>
      <c r="AA416" s="195"/>
      <c r="AB416" s="195"/>
      <c r="AC416" s="195"/>
      <c r="AD416" s="195"/>
      <c r="AE416" s="195"/>
      <c r="AF416" s="195"/>
      <c r="AG416" s="195"/>
      <c r="AH416" s="195"/>
      <c r="AI416" s="195"/>
      <c r="AJ416" s="195"/>
    </row>
    <row r="417" spans="1:36" s="31" customFormat="1">
      <c r="A417" s="55">
        <f>IF(F417&lt;&gt;"",1+MAX($A$2:A416),"")</f>
        <v>286</v>
      </c>
      <c r="B417" s="174"/>
      <c r="C417" s="60"/>
      <c r="D417" s="147" t="s">
        <v>187</v>
      </c>
      <c r="E417" s="148">
        <f>ROUNDUP(E416/32,0)</f>
        <v>178</v>
      </c>
      <c r="F417" s="124">
        <v>0</v>
      </c>
      <c r="G417" s="64">
        <f t="shared" si="598"/>
        <v>178</v>
      </c>
      <c r="H417" s="125" t="s">
        <v>124</v>
      </c>
      <c r="I417" s="90"/>
      <c r="J417" s="91"/>
      <c r="K417" s="92"/>
      <c r="L417" s="93"/>
      <c r="M417" s="93"/>
      <c r="N417" s="93"/>
      <c r="O417" s="93"/>
      <c r="P417" s="93"/>
      <c r="Q417" s="112"/>
      <c r="R417" s="195"/>
      <c r="S417" s="195"/>
      <c r="T417" s="195"/>
      <c r="U417" s="195"/>
      <c r="V417" s="195"/>
      <c r="W417" s="195"/>
      <c r="X417" s="195"/>
      <c r="Y417" s="195"/>
      <c r="Z417" s="195"/>
      <c r="AA417" s="195"/>
      <c r="AB417" s="195"/>
      <c r="AC417" s="195"/>
      <c r="AD417" s="195"/>
      <c r="AE417" s="195"/>
      <c r="AF417" s="195"/>
      <c r="AG417" s="195"/>
      <c r="AH417" s="195"/>
      <c r="AI417" s="195"/>
      <c r="AJ417" s="195"/>
    </row>
    <row r="418" spans="1:36" s="31" customFormat="1">
      <c r="A418" s="55">
        <f>IF(F418&lt;&gt;"",1+MAX($A$2:A417),"")</f>
        <v>287</v>
      </c>
      <c r="B418" s="174"/>
      <c r="C418" s="60"/>
      <c r="D418" s="147" t="s">
        <v>323</v>
      </c>
      <c r="E418" s="148">
        <f>ROUNDUP(E416*1.33,0)</f>
        <v>7539</v>
      </c>
      <c r="F418" s="124">
        <v>0</v>
      </c>
      <c r="G418" s="64">
        <f t="shared" si="598"/>
        <v>7539</v>
      </c>
      <c r="H418" s="125" t="s">
        <v>124</v>
      </c>
      <c r="I418" s="90">
        <v>2E-3</v>
      </c>
      <c r="J418" s="91">
        <f t="shared" ref="J418:J421" si="605">+I418*G418</f>
        <v>15.077999999999999</v>
      </c>
      <c r="K418" s="92">
        <f>'LABOR SHEET'!C$8</f>
        <v>36</v>
      </c>
      <c r="L418" s="93">
        <f t="shared" ref="L418:L421" si="606">I418*K418</f>
        <v>7.1999999999999995E-2</v>
      </c>
      <c r="M418" s="93">
        <f t="shared" ref="M418:M421" si="607">K418*J418</f>
        <v>542.80799999999999</v>
      </c>
      <c r="N418" s="151">
        <v>0.06</v>
      </c>
      <c r="O418" s="93">
        <f t="shared" ref="O418:O421" si="608">N418*G418</f>
        <v>452.34</v>
      </c>
      <c r="P418" s="93">
        <f t="shared" ref="P418:P421" si="609">(I418*K418)+N418</f>
        <v>0.13200000000000001</v>
      </c>
      <c r="Q418" s="112">
        <f t="shared" ref="Q418:Q421" si="610">P418*G418</f>
        <v>995.14800000000002</v>
      </c>
      <c r="R418" s="195"/>
      <c r="S418" s="195"/>
      <c r="T418" s="195"/>
      <c r="U418" s="195"/>
      <c r="V418" s="195"/>
      <c r="W418" s="195"/>
      <c r="X418" s="195"/>
      <c r="Y418" s="195"/>
      <c r="Z418" s="195"/>
      <c r="AA418" s="195"/>
      <c r="AB418" s="195"/>
      <c r="AC418" s="195"/>
      <c r="AD418" s="195"/>
      <c r="AE418" s="195"/>
      <c r="AF418" s="195"/>
      <c r="AG418" s="195"/>
      <c r="AH418" s="195"/>
      <c r="AI418" s="195"/>
      <c r="AJ418" s="195"/>
    </row>
    <row r="419" spans="1:36" s="31" customFormat="1">
      <c r="A419" s="55">
        <f>IF(F419&lt;&gt;"",1+MAX($A$2:A418),"")</f>
        <v>288</v>
      </c>
      <c r="B419" s="174"/>
      <c r="C419" s="60"/>
      <c r="D419" s="147" t="s">
        <v>324</v>
      </c>
      <c r="E419" s="148">
        <f>ROUNDUP(E417*16,0)</f>
        <v>2848</v>
      </c>
      <c r="F419" s="124">
        <v>0.05</v>
      </c>
      <c r="G419" s="64">
        <f t="shared" si="598"/>
        <v>2990.4</v>
      </c>
      <c r="H419" s="125" t="s">
        <v>119</v>
      </c>
      <c r="I419" s="90">
        <v>1.0999999999999999E-2</v>
      </c>
      <c r="J419" s="91">
        <f t="shared" si="605"/>
        <v>32.894399999999997</v>
      </c>
      <c r="K419" s="92">
        <f>'LABOR SHEET'!C$8</f>
        <v>36</v>
      </c>
      <c r="L419" s="93">
        <f t="shared" si="606"/>
        <v>0.39600000000000002</v>
      </c>
      <c r="M419" s="93">
        <f t="shared" si="607"/>
        <v>1184.1984</v>
      </c>
      <c r="N419" s="151">
        <v>0.03</v>
      </c>
      <c r="O419" s="93">
        <f t="shared" si="608"/>
        <v>89.712000000000003</v>
      </c>
      <c r="P419" s="93">
        <f t="shared" si="609"/>
        <v>0.42599999999999999</v>
      </c>
      <c r="Q419" s="112">
        <f t="shared" si="610"/>
        <v>1273.9104</v>
      </c>
      <c r="R419" s="195"/>
      <c r="S419" s="195"/>
      <c r="T419" s="195"/>
      <c r="U419" s="195"/>
      <c r="V419" s="195"/>
      <c r="W419" s="195"/>
      <c r="X419" s="195"/>
      <c r="Y419" s="195"/>
      <c r="Z419" s="195"/>
      <c r="AA419" s="195"/>
      <c r="AB419" s="195"/>
      <c r="AC419" s="195"/>
      <c r="AD419" s="195"/>
      <c r="AE419" s="195"/>
      <c r="AF419" s="195"/>
      <c r="AG419" s="195"/>
      <c r="AH419" s="195"/>
      <c r="AI419" s="195"/>
      <c r="AJ419" s="195"/>
    </row>
    <row r="420" spans="1:36" s="31" customFormat="1">
      <c r="A420" s="55">
        <f>IF(F420&lt;&gt;"",1+MAX($A$2:A419),"")</f>
        <v>289</v>
      </c>
      <c r="B420" s="174"/>
      <c r="C420" s="60"/>
      <c r="D420" s="147" t="s">
        <v>325</v>
      </c>
      <c r="E420" s="148">
        <f>E416*0.084</f>
        <v>476.11200000000002</v>
      </c>
      <c r="F420" s="59">
        <v>0.05</v>
      </c>
      <c r="G420" s="64">
        <f t="shared" si="598"/>
        <v>499.91759999999999</v>
      </c>
      <c r="H420" s="125" t="s">
        <v>326</v>
      </c>
      <c r="I420" s="90">
        <v>0.11</v>
      </c>
      <c r="J420" s="91">
        <f t="shared" si="605"/>
        <v>54.990935999999998</v>
      </c>
      <c r="K420" s="92">
        <f>'LABOR SHEET'!C$8</f>
        <v>36</v>
      </c>
      <c r="L420" s="93">
        <f t="shared" si="606"/>
        <v>3.96</v>
      </c>
      <c r="M420" s="93">
        <f t="shared" si="607"/>
        <v>1979.6736960000001</v>
      </c>
      <c r="N420" s="93">
        <v>0.5</v>
      </c>
      <c r="O420" s="93">
        <f t="shared" si="608"/>
        <v>249.9588</v>
      </c>
      <c r="P420" s="93">
        <f t="shared" si="609"/>
        <v>4.46</v>
      </c>
      <c r="Q420" s="112">
        <f t="shared" si="610"/>
        <v>2229.6324960000002</v>
      </c>
      <c r="R420" s="195"/>
      <c r="S420" s="195"/>
      <c r="T420" s="195"/>
      <c r="U420" s="195"/>
      <c r="V420" s="195"/>
      <c r="W420" s="195"/>
      <c r="X420" s="195"/>
      <c r="Y420" s="195"/>
      <c r="Z420" s="195"/>
      <c r="AA420" s="195"/>
      <c r="AB420" s="195"/>
      <c r="AC420" s="195"/>
      <c r="AD420" s="195"/>
      <c r="AE420" s="195"/>
      <c r="AF420" s="195"/>
      <c r="AG420" s="195"/>
      <c r="AH420" s="195"/>
      <c r="AI420" s="195"/>
      <c r="AJ420" s="195"/>
    </row>
    <row r="421" spans="1:36" s="31" customFormat="1">
      <c r="A421" s="55">
        <f>IF(F421&lt;&gt;"",1+MAX($A$2:A420),"")</f>
        <v>290</v>
      </c>
      <c r="B421" s="174"/>
      <c r="C421" s="60"/>
      <c r="D421" s="192" t="s">
        <v>328</v>
      </c>
      <c r="E421" s="156">
        <v>1169</v>
      </c>
      <c r="F421" s="124">
        <v>0.1</v>
      </c>
      <c r="G421" s="64">
        <f t="shared" si="598"/>
        <v>1285.9000000000001</v>
      </c>
      <c r="H421" s="150" t="s">
        <v>67</v>
      </c>
      <c r="I421" s="90">
        <v>1.9E-2</v>
      </c>
      <c r="J421" s="91">
        <f t="shared" si="605"/>
        <v>24.432099999999998</v>
      </c>
      <c r="K421" s="92">
        <f>'LABOR SHEET'!C$8</f>
        <v>36</v>
      </c>
      <c r="L421" s="93">
        <f t="shared" si="606"/>
        <v>0.68400000000000005</v>
      </c>
      <c r="M421" s="93">
        <f t="shared" si="607"/>
        <v>879.55560000000003</v>
      </c>
      <c r="N421" s="93">
        <v>0.74</v>
      </c>
      <c r="O421" s="93">
        <f t="shared" si="608"/>
        <v>951.56600000000003</v>
      </c>
      <c r="P421" s="93">
        <f t="shared" si="609"/>
        <v>1.4239999999999999</v>
      </c>
      <c r="Q421" s="112">
        <f t="shared" si="610"/>
        <v>1831.1215999999999</v>
      </c>
      <c r="R421" s="195"/>
      <c r="S421" s="195"/>
      <c r="T421" s="195"/>
      <c r="U421" s="195"/>
      <c r="V421" s="195"/>
      <c r="W421" s="195"/>
      <c r="X421" s="195"/>
      <c r="Y421" s="195"/>
      <c r="Z421" s="195"/>
      <c r="AA421" s="195"/>
      <c r="AB421" s="195"/>
      <c r="AC421" s="195"/>
      <c r="AD421" s="195"/>
      <c r="AE421" s="195"/>
      <c r="AF421" s="195"/>
      <c r="AG421" s="195"/>
      <c r="AH421" s="195"/>
      <c r="AI421" s="195"/>
      <c r="AJ421" s="195"/>
    </row>
    <row r="422" spans="1:36" s="31" customFormat="1">
      <c r="A422" s="55">
        <f>IF(F422&lt;&gt;"",1+MAX($A$2:A421),"")</f>
        <v>291</v>
      </c>
      <c r="B422" s="174"/>
      <c r="C422" s="60"/>
      <c r="D422" s="147" t="s">
        <v>187</v>
      </c>
      <c r="E422" s="148">
        <f>ROUNDUP(E421/32,0)</f>
        <v>37</v>
      </c>
      <c r="F422" s="124">
        <v>0</v>
      </c>
      <c r="G422" s="64">
        <f t="shared" si="598"/>
        <v>37</v>
      </c>
      <c r="H422" s="125" t="s">
        <v>124</v>
      </c>
      <c r="I422" s="90"/>
      <c r="J422" s="91"/>
      <c r="K422" s="92"/>
      <c r="L422" s="93"/>
      <c r="M422" s="93"/>
      <c r="N422" s="93"/>
      <c r="O422" s="93"/>
      <c r="P422" s="93"/>
      <c r="Q422" s="112"/>
      <c r="R422" s="195"/>
      <c r="S422" s="195"/>
      <c r="T422" s="195"/>
      <c r="U422" s="195"/>
      <c r="V422" s="195"/>
      <c r="W422" s="195"/>
      <c r="X422" s="195"/>
      <c r="Y422" s="195"/>
      <c r="Z422" s="195"/>
      <c r="AA422" s="195"/>
      <c r="AB422" s="195"/>
      <c r="AC422" s="195"/>
      <c r="AD422" s="195"/>
      <c r="AE422" s="195"/>
      <c r="AF422" s="195"/>
      <c r="AG422" s="195"/>
      <c r="AH422" s="195"/>
      <c r="AI422" s="195"/>
      <c r="AJ422" s="195"/>
    </row>
    <row r="423" spans="1:36" s="31" customFormat="1">
      <c r="A423" s="55">
        <f>IF(F423&lt;&gt;"",1+MAX($A$2:A422),"")</f>
        <v>292</v>
      </c>
      <c r="B423" s="174"/>
      <c r="C423" s="60"/>
      <c r="D423" s="147" t="s">
        <v>323</v>
      </c>
      <c r="E423" s="148">
        <f>ROUNDUP(E421*1.33,0)</f>
        <v>1555</v>
      </c>
      <c r="F423" s="124">
        <v>0</v>
      </c>
      <c r="G423" s="64">
        <f t="shared" si="598"/>
        <v>1555</v>
      </c>
      <c r="H423" s="125" t="s">
        <v>124</v>
      </c>
      <c r="I423" s="90">
        <v>2E-3</v>
      </c>
      <c r="J423" s="91">
        <f t="shared" ref="J423:J426" si="611">+I423*G423</f>
        <v>3.11</v>
      </c>
      <c r="K423" s="92">
        <f>'LABOR SHEET'!C$8</f>
        <v>36</v>
      </c>
      <c r="L423" s="93">
        <f t="shared" ref="L423:L426" si="612">I423*K423</f>
        <v>7.1999999999999995E-2</v>
      </c>
      <c r="M423" s="93">
        <f t="shared" ref="M423:M426" si="613">K423*J423</f>
        <v>111.96</v>
      </c>
      <c r="N423" s="151">
        <v>0.06</v>
      </c>
      <c r="O423" s="93">
        <f t="shared" ref="O423:O426" si="614">N423*G423</f>
        <v>93.3</v>
      </c>
      <c r="P423" s="93">
        <f t="shared" ref="P423:P426" si="615">(I423*K423)+N423</f>
        <v>0.13200000000000001</v>
      </c>
      <c r="Q423" s="112">
        <f t="shared" ref="Q423:Q426" si="616">P423*G423</f>
        <v>205.26</v>
      </c>
      <c r="R423" s="195"/>
      <c r="S423" s="195"/>
      <c r="T423" s="195"/>
      <c r="U423" s="195"/>
      <c r="V423" s="195"/>
      <c r="W423" s="195"/>
      <c r="X423" s="195"/>
      <c r="Y423" s="195"/>
      <c r="Z423" s="195"/>
      <c r="AA423" s="195"/>
      <c r="AB423" s="195"/>
      <c r="AC423" s="195"/>
      <c r="AD423" s="195"/>
      <c r="AE423" s="195"/>
      <c r="AF423" s="195"/>
      <c r="AG423" s="195"/>
      <c r="AH423" s="195"/>
      <c r="AI423" s="195"/>
      <c r="AJ423" s="195"/>
    </row>
    <row r="424" spans="1:36" s="31" customFormat="1">
      <c r="A424" s="55">
        <f>IF(F424&lt;&gt;"",1+MAX($A$2:A423),"")</f>
        <v>293</v>
      </c>
      <c r="B424" s="174"/>
      <c r="C424" s="60"/>
      <c r="D424" s="147" t="s">
        <v>324</v>
      </c>
      <c r="E424" s="148">
        <f>ROUNDUP(E422*16,0)</f>
        <v>592</v>
      </c>
      <c r="F424" s="124">
        <v>0.05</v>
      </c>
      <c r="G424" s="64">
        <f t="shared" si="598"/>
        <v>621.6</v>
      </c>
      <c r="H424" s="125" t="s">
        <v>119</v>
      </c>
      <c r="I424" s="90">
        <v>1.0999999999999999E-2</v>
      </c>
      <c r="J424" s="91">
        <f t="shared" si="611"/>
        <v>6.8376000000000001</v>
      </c>
      <c r="K424" s="92">
        <f>'LABOR SHEET'!C$8</f>
        <v>36</v>
      </c>
      <c r="L424" s="93">
        <f t="shared" si="612"/>
        <v>0.39600000000000002</v>
      </c>
      <c r="M424" s="93">
        <f t="shared" si="613"/>
        <v>246.15360000000001</v>
      </c>
      <c r="N424" s="151">
        <v>0.03</v>
      </c>
      <c r="O424" s="93">
        <f t="shared" si="614"/>
        <v>18.648</v>
      </c>
      <c r="P424" s="93">
        <f t="shared" si="615"/>
        <v>0.42599999999999999</v>
      </c>
      <c r="Q424" s="112">
        <f t="shared" si="616"/>
        <v>264.80160000000001</v>
      </c>
      <c r="R424" s="195"/>
      <c r="S424" s="195"/>
      <c r="T424" s="195"/>
      <c r="U424" s="195"/>
      <c r="V424" s="195"/>
      <c r="W424" s="195"/>
      <c r="X424" s="195"/>
      <c r="Y424" s="195"/>
      <c r="Z424" s="195"/>
      <c r="AA424" s="195"/>
      <c r="AB424" s="195"/>
      <c r="AC424" s="195"/>
      <c r="AD424" s="195"/>
      <c r="AE424" s="195"/>
      <c r="AF424" s="195"/>
      <c r="AG424" s="195"/>
      <c r="AH424" s="195"/>
      <c r="AI424" s="195"/>
      <c r="AJ424" s="195"/>
    </row>
    <row r="425" spans="1:36" s="31" customFormat="1">
      <c r="A425" s="55">
        <f>IF(F425&lt;&gt;"",1+MAX($A$2:A424),"")</f>
        <v>294</v>
      </c>
      <c r="B425" s="174"/>
      <c r="C425" s="60"/>
      <c r="D425" s="147" t="s">
        <v>325</v>
      </c>
      <c r="E425" s="148">
        <f>E421*0.084</f>
        <v>98.195999999999998</v>
      </c>
      <c r="F425" s="59">
        <v>0.05</v>
      </c>
      <c r="G425" s="64">
        <f t="shared" si="598"/>
        <v>103.1058</v>
      </c>
      <c r="H425" s="125" t="s">
        <v>326</v>
      </c>
      <c r="I425" s="90">
        <v>0.11</v>
      </c>
      <c r="J425" s="91">
        <f t="shared" si="611"/>
        <v>11.341638</v>
      </c>
      <c r="K425" s="92">
        <f>'LABOR SHEET'!C$8</f>
        <v>36</v>
      </c>
      <c r="L425" s="93">
        <f t="shared" si="612"/>
        <v>3.96</v>
      </c>
      <c r="M425" s="93">
        <f t="shared" si="613"/>
        <v>408.298968</v>
      </c>
      <c r="N425" s="93">
        <v>0.5</v>
      </c>
      <c r="O425" s="93">
        <f t="shared" si="614"/>
        <v>51.552900000000001</v>
      </c>
      <c r="P425" s="93">
        <f t="shared" si="615"/>
        <v>4.46</v>
      </c>
      <c r="Q425" s="112">
        <f t="shared" si="616"/>
        <v>459.85186800000002</v>
      </c>
      <c r="R425" s="195"/>
      <c r="S425" s="195"/>
      <c r="T425" s="195"/>
      <c r="U425" s="195"/>
      <c r="V425" s="195"/>
      <c r="W425" s="195"/>
      <c r="X425" s="195"/>
      <c r="Y425" s="195"/>
      <c r="Z425" s="195"/>
      <c r="AA425" s="195"/>
      <c r="AB425" s="195"/>
      <c r="AC425" s="195"/>
      <c r="AD425" s="195"/>
      <c r="AE425" s="195"/>
      <c r="AF425" s="195"/>
      <c r="AG425" s="195"/>
      <c r="AH425" s="195"/>
      <c r="AI425" s="195"/>
      <c r="AJ425" s="195"/>
    </row>
    <row r="426" spans="1:36" s="31" customFormat="1">
      <c r="A426" s="55">
        <f>IF(F426&lt;&gt;"",1+MAX($A$2:A425),"")</f>
        <v>295</v>
      </c>
      <c r="B426" s="174"/>
      <c r="C426" s="60"/>
      <c r="D426" s="155" t="s">
        <v>338</v>
      </c>
      <c r="E426" s="156">
        <v>3419</v>
      </c>
      <c r="F426" s="124">
        <v>0.1</v>
      </c>
      <c r="G426" s="64">
        <f t="shared" si="598"/>
        <v>3760.9</v>
      </c>
      <c r="H426" s="150" t="s">
        <v>67</v>
      </c>
      <c r="I426" s="90">
        <v>1.2E-2</v>
      </c>
      <c r="J426" s="91">
        <f t="shared" si="611"/>
        <v>45.130800000000001</v>
      </c>
      <c r="K426" s="92">
        <f>'LABOR SHEET'!C$8</f>
        <v>36</v>
      </c>
      <c r="L426" s="93">
        <f t="shared" si="612"/>
        <v>0.432</v>
      </c>
      <c r="M426" s="93">
        <f t="shared" si="613"/>
        <v>1624.7088000000001</v>
      </c>
      <c r="N426" s="93">
        <v>1.22</v>
      </c>
      <c r="O426" s="93">
        <f t="shared" si="614"/>
        <v>4588.2979999999998</v>
      </c>
      <c r="P426" s="93">
        <f t="shared" si="615"/>
        <v>1.6519999999999999</v>
      </c>
      <c r="Q426" s="112">
        <f t="shared" si="616"/>
        <v>6213.0068000000001</v>
      </c>
      <c r="R426" s="195"/>
      <c r="S426" s="195"/>
      <c r="T426" s="195"/>
      <c r="U426" s="195"/>
      <c r="V426" s="195"/>
      <c r="W426" s="195"/>
      <c r="X426" s="195"/>
      <c r="Y426" s="195"/>
      <c r="Z426" s="195"/>
      <c r="AA426" s="195"/>
      <c r="AB426" s="195"/>
      <c r="AC426" s="195"/>
      <c r="AD426" s="195"/>
      <c r="AE426" s="195"/>
      <c r="AF426" s="195"/>
      <c r="AG426" s="195"/>
      <c r="AH426" s="195"/>
      <c r="AI426" s="195"/>
      <c r="AJ426" s="195"/>
    </row>
    <row r="427" spans="1:36" s="31" customFormat="1">
      <c r="A427" s="55">
        <f>IF(F427&lt;&gt;"",1+MAX($A$2:A426),"")</f>
        <v>296</v>
      </c>
      <c r="B427" s="174"/>
      <c r="C427" s="60"/>
      <c r="D427" s="192" t="s">
        <v>313</v>
      </c>
      <c r="E427" s="156">
        <v>2608</v>
      </c>
      <c r="F427" s="124">
        <v>0.05</v>
      </c>
      <c r="G427" s="64">
        <f t="shared" si="598"/>
        <v>2738.4</v>
      </c>
      <c r="H427" s="150" t="s">
        <v>119</v>
      </c>
      <c r="I427" s="90">
        <v>1.6E-2</v>
      </c>
      <c r="J427" s="91">
        <f t="shared" ref="J427:J430" si="617">+I427*G427</f>
        <v>43.814399999999999</v>
      </c>
      <c r="K427" s="92">
        <f>'LABOR SHEET'!C$8</f>
        <v>36</v>
      </c>
      <c r="L427" s="93">
        <f t="shared" ref="L427:L430" si="618">I427*K427</f>
        <v>0.57599999999999996</v>
      </c>
      <c r="M427" s="93">
        <f t="shared" ref="M427:M430" si="619">K427*J427</f>
        <v>1577.3184000000001</v>
      </c>
      <c r="N427" s="93">
        <v>1.1000000000000001</v>
      </c>
      <c r="O427" s="93">
        <f t="shared" ref="O427:O430" si="620">N427*G427</f>
        <v>3012.24</v>
      </c>
      <c r="P427" s="93">
        <f t="shared" ref="P427:P430" si="621">(I427*K427)+N427</f>
        <v>1.6759999999999999</v>
      </c>
      <c r="Q427" s="112">
        <f t="shared" ref="Q427:Q430" si="622">P427*G427</f>
        <v>4589.5583999999999</v>
      </c>
      <c r="R427" s="195"/>
      <c r="S427" s="195"/>
      <c r="T427" s="195"/>
      <c r="U427" s="195"/>
      <c r="V427" s="195"/>
      <c r="W427" s="195"/>
      <c r="X427" s="195"/>
      <c r="Y427" s="195"/>
      <c r="Z427" s="195"/>
      <c r="AA427" s="195"/>
      <c r="AB427" s="195"/>
      <c r="AC427" s="195"/>
      <c r="AD427" s="195"/>
      <c r="AE427" s="195"/>
      <c r="AF427" s="195"/>
      <c r="AG427" s="195"/>
      <c r="AH427" s="195"/>
      <c r="AI427" s="195"/>
      <c r="AJ427" s="195"/>
    </row>
    <row r="428" spans="1:36" s="31" customFormat="1">
      <c r="A428" s="55">
        <f>IF(F428&lt;&gt;"",1+MAX($A$2:A427),"")</f>
        <v>297</v>
      </c>
      <c r="B428" s="174"/>
      <c r="C428" s="60"/>
      <c r="D428" s="192" t="s">
        <v>341</v>
      </c>
      <c r="E428" s="156">
        <v>820</v>
      </c>
      <c r="F428" s="124">
        <v>0.05</v>
      </c>
      <c r="G428" s="64">
        <f t="shared" si="598"/>
        <v>861</v>
      </c>
      <c r="H428" s="150" t="s">
        <v>119</v>
      </c>
      <c r="I428" s="90">
        <v>1.6E-2</v>
      </c>
      <c r="J428" s="91">
        <f t="shared" si="617"/>
        <v>13.776</v>
      </c>
      <c r="K428" s="92">
        <f>'LABOR SHEET'!C$8</f>
        <v>36</v>
      </c>
      <c r="L428" s="93">
        <f t="shared" si="618"/>
        <v>0.57599999999999996</v>
      </c>
      <c r="M428" s="93">
        <f t="shared" si="619"/>
        <v>495.93599999999998</v>
      </c>
      <c r="N428" s="93">
        <v>1.1000000000000001</v>
      </c>
      <c r="O428" s="93">
        <f t="shared" si="620"/>
        <v>947.1</v>
      </c>
      <c r="P428" s="93">
        <f t="shared" si="621"/>
        <v>1.6759999999999999</v>
      </c>
      <c r="Q428" s="112">
        <f t="shared" si="622"/>
        <v>1443.0360000000001</v>
      </c>
      <c r="R428" s="195"/>
      <c r="S428" s="195"/>
      <c r="T428" s="195"/>
      <c r="U428" s="195"/>
      <c r="V428" s="195"/>
      <c r="W428" s="195"/>
      <c r="X428" s="195"/>
      <c r="Y428" s="195"/>
      <c r="Z428" s="195"/>
      <c r="AA428" s="195"/>
      <c r="AB428" s="195"/>
      <c r="AC428" s="195"/>
      <c r="AD428" s="195"/>
      <c r="AE428" s="195"/>
      <c r="AF428" s="195"/>
      <c r="AG428" s="195"/>
      <c r="AH428" s="195"/>
      <c r="AI428" s="195"/>
      <c r="AJ428" s="195"/>
    </row>
    <row r="429" spans="1:36" s="31" customFormat="1">
      <c r="A429" s="55">
        <f>IF(F429&lt;&gt;"",1+MAX($A$2:A428),"")</f>
        <v>298</v>
      </c>
      <c r="B429" s="174"/>
      <c r="C429" s="60"/>
      <c r="D429" s="192" t="s">
        <v>333</v>
      </c>
      <c r="E429" s="156">
        <v>273</v>
      </c>
      <c r="F429" s="124">
        <v>0.05</v>
      </c>
      <c r="G429" s="64">
        <f t="shared" si="598"/>
        <v>286.64999999999998</v>
      </c>
      <c r="H429" s="150" t="s">
        <v>119</v>
      </c>
      <c r="I429" s="90">
        <v>1.6E-2</v>
      </c>
      <c r="J429" s="91">
        <f t="shared" si="617"/>
        <v>4.5864000000000003</v>
      </c>
      <c r="K429" s="92">
        <f>'LABOR SHEET'!C$8</f>
        <v>36</v>
      </c>
      <c r="L429" s="93">
        <f t="shared" si="618"/>
        <v>0.57599999999999996</v>
      </c>
      <c r="M429" s="93">
        <f t="shared" si="619"/>
        <v>165.1104</v>
      </c>
      <c r="N429" s="93">
        <v>1.1000000000000001</v>
      </c>
      <c r="O429" s="93">
        <f t="shared" si="620"/>
        <v>315.315</v>
      </c>
      <c r="P429" s="93">
        <f t="shared" si="621"/>
        <v>1.6759999999999999</v>
      </c>
      <c r="Q429" s="112">
        <f t="shared" si="622"/>
        <v>480.42540000000002</v>
      </c>
      <c r="R429" s="195"/>
      <c r="S429" s="195"/>
      <c r="T429" s="195"/>
      <c r="U429" s="195"/>
      <c r="V429" s="195"/>
      <c r="W429" s="195"/>
      <c r="X429" s="195"/>
      <c r="Y429" s="195"/>
      <c r="Z429" s="195"/>
      <c r="AA429" s="195"/>
      <c r="AB429" s="195"/>
      <c r="AC429" s="195"/>
      <c r="AD429" s="195"/>
      <c r="AE429" s="195"/>
      <c r="AF429" s="195"/>
      <c r="AG429" s="195"/>
      <c r="AH429" s="195"/>
      <c r="AI429" s="195"/>
      <c r="AJ429" s="195"/>
    </row>
    <row r="430" spans="1:36" s="31" customFormat="1">
      <c r="A430" s="55">
        <f>IF(F430&lt;&gt;"",1+MAX($A$2:A429),"")</f>
        <v>299</v>
      </c>
      <c r="B430" s="174"/>
      <c r="C430" s="60"/>
      <c r="D430" s="192" t="s">
        <v>334</v>
      </c>
      <c r="E430" s="156">
        <v>1094</v>
      </c>
      <c r="F430" s="124">
        <v>0.05</v>
      </c>
      <c r="G430" s="64">
        <f t="shared" si="598"/>
        <v>1148.7</v>
      </c>
      <c r="H430" s="150" t="s">
        <v>119</v>
      </c>
      <c r="I430" s="90">
        <v>0.01</v>
      </c>
      <c r="J430" s="91">
        <f t="shared" si="617"/>
        <v>11.487</v>
      </c>
      <c r="K430" s="92">
        <f>'LABOR SHEET'!C$8</f>
        <v>36</v>
      </c>
      <c r="L430" s="93">
        <f t="shared" si="618"/>
        <v>0.36</v>
      </c>
      <c r="M430" s="93">
        <f t="shared" si="619"/>
        <v>413.53199999999998</v>
      </c>
      <c r="N430" s="93">
        <v>0.5</v>
      </c>
      <c r="O430" s="93">
        <f t="shared" si="620"/>
        <v>574.35</v>
      </c>
      <c r="P430" s="93">
        <f t="shared" si="621"/>
        <v>0.86</v>
      </c>
      <c r="Q430" s="112">
        <f t="shared" si="622"/>
        <v>987.88199999999995</v>
      </c>
      <c r="R430" s="195"/>
      <c r="S430" s="195"/>
      <c r="T430" s="195"/>
      <c r="U430" s="195"/>
      <c r="V430" s="195"/>
      <c r="W430" s="195"/>
      <c r="X430" s="195"/>
      <c r="Y430" s="195"/>
      <c r="Z430" s="195"/>
      <c r="AA430" s="195"/>
      <c r="AB430" s="195"/>
      <c r="AC430" s="195"/>
      <c r="AD430" s="195"/>
      <c r="AE430" s="195"/>
      <c r="AF430" s="195"/>
      <c r="AG430" s="195"/>
      <c r="AH430" s="195"/>
      <c r="AI430" s="195"/>
      <c r="AJ430" s="195"/>
    </row>
    <row r="431" spans="1:36" s="31" customFormat="1">
      <c r="A431" s="55" t="str">
        <f>IF(F431&lt;&gt;"",1+MAX($A$2:A430),"")</f>
        <v/>
      </c>
      <c r="B431" s="174"/>
      <c r="C431" s="60"/>
      <c r="D431" s="192"/>
      <c r="E431" s="148"/>
      <c r="F431" s="124"/>
      <c r="G431" s="145"/>
      <c r="H431" s="125"/>
      <c r="I431" s="90"/>
      <c r="J431" s="91"/>
      <c r="K431" s="92"/>
      <c r="L431" s="93"/>
      <c r="M431" s="93"/>
      <c r="N431" s="93"/>
      <c r="O431" s="93"/>
      <c r="P431" s="93"/>
      <c r="Q431" s="111"/>
      <c r="R431" s="195"/>
      <c r="S431" s="195"/>
      <c r="T431" s="195"/>
      <c r="U431" s="195"/>
      <c r="V431" s="195"/>
      <c r="W431" s="195"/>
      <c r="X431" s="195"/>
      <c r="Y431" s="195"/>
      <c r="Z431" s="195"/>
      <c r="AA431" s="195"/>
      <c r="AB431" s="195"/>
      <c r="AC431" s="195"/>
      <c r="AD431" s="195"/>
      <c r="AE431" s="195"/>
      <c r="AF431" s="195"/>
      <c r="AG431" s="195"/>
      <c r="AH431" s="195"/>
      <c r="AI431" s="195"/>
      <c r="AJ431" s="195"/>
    </row>
    <row r="432" spans="1:36" s="31" customFormat="1">
      <c r="A432" s="55" t="str">
        <f>IF(F432&lt;&gt;"",1+MAX($A$2:A431),"")</f>
        <v/>
      </c>
      <c r="B432" s="174"/>
      <c r="C432" s="60"/>
      <c r="D432" s="187" t="s">
        <v>342</v>
      </c>
      <c r="E432" s="188"/>
      <c r="F432" s="189"/>
      <c r="G432" s="190"/>
      <c r="H432" s="191"/>
      <c r="I432" s="90"/>
      <c r="J432" s="91"/>
      <c r="K432" s="92"/>
      <c r="L432" s="93"/>
      <c r="M432" s="93"/>
      <c r="N432" s="93"/>
      <c r="O432" s="93"/>
      <c r="P432" s="93"/>
      <c r="Q432" s="111"/>
      <c r="R432" s="195"/>
      <c r="S432" s="195"/>
      <c r="T432" s="195"/>
      <c r="U432" s="195"/>
      <c r="V432" s="195"/>
      <c r="W432" s="195"/>
      <c r="X432" s="195"/>
      <c r="Y432" s="195"/>
      <c r="Z432" s="195"/>
      <c r="AA432" s="195"/>
      <c r="AB432" s="195"/>
      <c r="AC432" s="195"/>
      <c r="AD432" s="195"/>
      <c r="AE432" s="195"/>
      <c r="AF432" s="195"/>
      <c r="AG432" s="195"/>
      <c r="AH432" s="195"/>
      <c r="AI432" s="195"/>
      <c r="AJ432" s="195"/>
    </row>
    <row r="433" spans="1:36" s="31" customFormat="1">
      <c r="A433" s="55">
        <f>IF(F433&lt;&gt;"",1+MAX($A$2:A432),"")</f>
        <v>300</v>
      </c>
      <c r="B433" s="174"/>
      <c r="C433" s="60"/>
      <c r="D433" s="192" t="s">
        <v>322</v>
      </c>
      <c r="E433" s="156">
        <v>1729</v>
      </c>
      <c r="F433" s="124">
        <v>0.1</v>
      </c>
      <c r="G433" s="64">
        <f t="shared" ref="G433:G447" si="623">(F433*E433)+E433</f>
        <v>1901.9</v>
      </c>
      <c r="H433" s="150" t="s">
        <v>67</v>
      </c>
      <c r="I433" s="90">
        <v>1.7000000000000001E-2</v>
      </c>
      <c r="J433" s="91">
        <f t="shared" ref="J433" si="624">+I433*G433</f>
        <v>32.332299999999996</v>
      </c>
      <c r="K433" s="92">
        <f>'LABOR SHEET'!C$8</f>
        <v>36</v>
      </c>
      <c r="L433" s="93">
        <f t="shared" ref="L433" si="625">I433*K433</f>
        <v>0.61199999999999999</v>
      </c>
      <c r="M433" s="93">
        <f t="shared" ref="M433" si="626">K433*J433</f>
        <v>1163.9628</v>
      </c>
      <c r="N433" s="93">
        <v>0.495</v>
      </c>
      <c r="O433" s="93">
        <f t="shared" ref="O433" si="627">N433*G433</f>
        <v>941.44050000000004</v>
      </c>
      <c r="P433" s="93">
        <f t="shared" ref="P433" si="628">(I433*K433)+N433</f>
        <v>1.107</v>
      </c>
      <c r="Q433" s="112">
        <f t="shared" ref="Q433" si="629">P433*G433</f>
        <v>2105.4032999999999</v>
      </c>
      <c r="R433" s="195"/>
      <c r="S433" s="195"/>
      <c r="T433" s="195"/>
      <c r="U433" s="195"/>
      <c r="V433" s="195"/>
      <c r="W433" s="195"/>
      <c r="X433" s="195"/>
      <c r="Y433" s="195"/>
      <c r="Z433" s="195"/>
      <c r="AA433" s="195"/>
      <c r="AB433" s="195"/>
      <c r="AC433" s="195"/>
      <c r="AD433" s="195"/>
      <c r="AE433" s="195"/>
      <c r="AF433" s="195"/>
      <c r="AG433" s="195"/>
      <c r="AH433" s="195"/>
      <c r="AI433" s="195"/>
      <c r="AJ433" s="195"/>
    </row>
    <row r="434" spans="1:36" s="31" customFormat="1">
      <c r="A434" s="55">
        <f>IF(F434&lt;&gt;"",1+MAX($A$2:A433),"")</f>
        <v>301</v>
      </c>
      <c r="B434" s="174"/>
      <c r="C434" s="60"/>
      <c r="D434" s="147" t="s">
        <v>187</v>
      </c>
      <c r="E434" s="148">
        <f>ROUNDUP(E433/32,0)</f>
        <v>55</v>
      </c>
      <c r="F434" s="124">
        <v>0</v>
      </c>
      <c r="G434" s="64">
        <f t="shared" si="623"/>
        <v>55</v>
      </c>
      <c r="H434" s="125" t="s">
        <v>124</v>
      </c>
      <c r="I434" s="90"/>
      <c r="J434" s="91"/>
      <c r="K434" s="92"/>
      <c r="L434" s="93"/>
      <c r="M434" s="93"/>
      <c r="N434" s="93"/>
      <c r="O434" s="93"/>
      <c r="P434" s="93"/>
      <c r="Q434" s="112"/>
      <c r="R434" s="195"/>
      <c r="S434" s="195"/>
      <c r="T434" s="195"/>
      <c r="U434" s="195"/>
      <c r="V434" s="195"/>
      <c r="W434" s="195"/>
      <c r="X434" s="195"/>
      <c r="Y434" s="195"/>
      <c r="Z434" s="195"/>
      <c r="AA434" s="195"/>
      <c r="AB434" s="195"/>
      <c r="AC434" s="195"/>
      <c r="AD434" s="195"/>
      <c r="AE434" s="195"/>
      <c r="AF434" s="195"/>
      <c r="AG434" s="195"/>
      <c r="AH434" s="195"/>
      <c r="AI434" s="195"/>
      <c r="AJ434" s="195"/>
    </row>
    <row r="435" spans="1:36" s="31" customFormat="1">
      <c r="A435" s="55">
        <f>IF(F435&lt;&gt;"",1+MAX($A$2:A434),"")</f>
        <v>302</v>
      </c>
      <c r="B435" s="174"/>
      <c r="C435" s="60"/>
      <c r="D435" s="147" t="s">
        <v>323</v>
      </c>
      <c r="E435" s="148">
        <f>ROUNDUP(E433*1.33,0)</f>
        <v>2300</v>
      </c>
      <c r="F435" s="124">
        <v>0</v>
      </c>
      <c r="G435" s="64">
        <f t="shared" si="623"/>
        <v>2300</v>
      </c>
      <c r="H435" s="125" t="s">
        <v>124</v>
      </c>
      <c r="I435" s="90">
        <v>2E-3</v>
      </c>
      <c r="J435" s="91">
        <f t="shared" ref="J435:J438" si="630">+I435*G435</f>
        <v>4.5999999999999996</v>
      </c>
      <c r="K435" s="92">
        <f>'LABOR SHEET'!C$8</f>
        <v>36</v>
      </c>
      <c r="L435" s="93">
        <f t="shared" ref="L435:L438" si="631">I435*K435</f>
        <v>7.1999999999999995E-2</v>
      </c>
      <c r="M435" s="93">
        <f t="shared" ref="M435:M438" si="632">K435*J435</f>
        <v>165.6</v>
      </c>
      <c r="N435" s="151">
        <v>0.06</v>
      </c>
      <c r="O435" s="93">
        <f t="shared" ref="O435:O438" si="633">N435*G435</f>
        <v>138</v>
      </c>
      <c r="P435" s="93">
        <f t="shared" ref="P435:P438" si="634">(I435*K435)+N435</f>
        <v>0.13200000000000001</v>
      </c>
      <c r="Q435" s="112">
        <f t="shared" ref="Q435:Q438" si="635">P435*G435</f>
        <v>303.60000000000002</v>
      </c>
      <c r="R435" s="195"/>
      <c r="S435" s="195"/>
      <c r="T435" s="195"/>
      <c r="U435" s="195"/>
      <c r="V435" s="195"/>
      <c r="W435" s="195"/>
      <c r="X435" s="195"/>
      <c r="Y435" s="195"/>
      <c r="Z435" s="195"/>
      <c r="AA435" s="195"/>
      <c r="AB435" s="195"/>
      <c r="AC435" s="195"/>
      <c r="AD435" s="195"/>
      <c r="AE435" s="195"/>
      <c r="AF435" s="195"/>
      <c r="AG435" s="195"/>
      <c r="AH435" s="195"/>
      <c r="AI435" s="195"/>
      <c r="AJ435" s="195"/>
    </row>
    <row r="436" spans="1:36" s="31" customFormat="1">
      <c r="A436" s="55">
        <f>IF(F436&lt;&gt;"",1+MAX($A$2:A435),"")</f>
        <v>303</v>
      </c>
      <c r="B436" s="174"/>
      <c r="C436" s="60"/>
      <c r="D436" s="147" t="s">
        <v>324</v>
      </c>
      <c r="E436" s="148">
        <f>ROUNDUP(E434*16,0)</f>
        <v>880</v>
      </c>
      <c r="F436" s="124">
        <v>0.05</v>
      </c>
      <c r="G436" s="64">
        <f t="shared" si="623"/>
        <v>924</v>
      </c>
      <c r="H436" s="125" t="s">
        <v>119</v>
      </c>
      <c r="I436" s="90">
        <v>1.0999999999999999E-2</v>
      </c>
      <c r="J436" s="91">
        <f t="shared" si="630"/>
        <v>10.164</v>
      </c>
      <c r="K436" s="92">
        <f>'LABOR SHEET'!C$8</f>
        <v>36</v>
      </c>
      <c r="L436" s="93">
        <f t="shared" si="631"/>
        <v>0.39600000000000002</v>
      </c>
      <c r="M436" s="93">
        <f t="shared" si="632"/>
        <v>365.904</v>
      </c>
      <c r="N436" s="151">
        <v>0.03</v>
      </c>
      <c r="O436" s="93">
        <f t="shared" si="633"/>
        <v>27.72</v>
      </c>
      <c r="P436" s="93">
        <f t="shared" si="634"/>
        <v>0.42599999999999999</v>
      </c>
      <c r="Q436" s="112">
        <f t="shared" si="635"/>
        <v>393.62400000000002</v>
      </c>
      <c r="R436" s="195"/>
      <c r="S436" s="195"/>
      <c r="T436" s="195"/>
      <c r="U436" s="195"/>
      <c r="V436" s="195"/>
      <c r="W436" s="195"/>
      <c r="X436" s="195"/>
      <c r="Y436" s="195"/>
      <c r="Z436" s="195"/>
      <c r="AA436" s="195"/>
      <c r="AB436" s="195"/>
      <c r="AC436" s="195"/>
      <c r="AD436" s="195"/>
      <c r="AE436" s="195"/>
      <c r="AF436" s="195"/>
      <c r="AG436" s="195"/>
      <c r="AH436" s="195"/>
      <c r="AI436" s="195"/>
      <c r="AJ436" s="195"/>
    </row>
    <row r="437" spans="1:36" s="31" customFormat="1">
      <c r="A437" s="55">
        <f>IF(F437&lt;&gt;"",1+MAX($A$2:A436),"")</f>
        <v>304</v>
      </c>
      <c r="B437" s="174"/>
      <c r="C437" s="60"/>
      <c r="D437" s="147" t="s">
        <v>325</v>
      </c>
      <c r="E437" s="148">
        <f>E433*0.084</f>
        <v>145.23599999999999</v>
      </c>
      <c r="F437" s="59">
        <v>0.05</v>
      </c>
      <c r="G437" s="64">
        <f t="shared" si="623"/>
        <v>152.49780000000001</v>
      </c>
      <c r="H437" s="125" t="s">
        <v>326</v>
      </c>
      <c r="I437" s="90">
        <v>0.11</v>
      </c>
      <c r="J437" s="91">
        <f t="shared" si="630"/>
        <v>16.774757999999999</v>
      </c>
      <c r="K437" s="92">
        <f>'LABOR SHEET'!C$8</f>
        <v>36</v>
      </c>
      <c r="L437" s="93">
        <f t="shared" si="631"/>
        <v>3.96</v>
      </c>
      <c r="M437" s="93">
        <f t="shared" si="632"/>
        <v>603.89128800000003</v>
      </c>
      <c r="N437" s="93">
        <v>0.5</v>
      </c>
      <c r="O437" s="93">
        <f t="shared" si="633"/>
        <v>76.248900000000006</v>
      </c>
      <c r="P437" s="93">
        <f t="shared" si="634"/>
        <v>4.46</v>
      </c>
      <c r="Q437" s="112">
        <f t="shared" si="635"/>
        <v>680.14018799999997</v>
      </c>
      <c r="R437" s="195"/>
      <c r="S437" s="195"/>
      <c r="T437" s="195"/>
      <c r="U437" s="195"/>
      <c r="V437" s="195"/>
      <c r="W437" s="195"/>
      <c r="X437" s="195"/>
      <c r="Y437" s="195"/>
      <c r="Z437" s="195"/>
      <c r="AA437" s="195"/>
      <c r="AB437" s="195"/>
      <c r="AC437" s="195"/>
      <c r="AD437" s="195"/>
      <c r="AE437" s="195"/>
      <c r="AF437" s="195"/>
      <c r="AG437" s="195"/>
      <c r="AH437" s="195"/>
      <c r="AI437" s="195"/>
      <c r="AJ437" s="195"/>
    </row>
    <row r="438" spans="1:36" s="31" customFormat="1">
      <c r="A438" s="55">
        <f>IF(F438&lt;&gt;"",1+MAX($A$2:A437),"")</f>
        <v>305</v>
      </c>
      <c r="B438" s="174"/>
      <c r="C438" s="60"/>
      <c r="D438" s="192" t="s">
        <v>328</v>
      </c>
      <c r="E438" s="156">
        <v>280</v>
      </c>
      <c r="F438" s="124">
        <v>0.1</v>
      </c>
      <c r="G438" s="64">
        <f t="shared" si="623"/>
        <v>308</v>
      </c>
      <c r="H438" s="150" t="s">
        <v>67</v>
      </c>
      <c r="I438" s="90">
        <v>1.9E-2</v>
      </c>
      <c r="J438" s="91">
        <f t="shared" si="630"/>
        <v>5.8520000000000003</v>
      </c>
      <c r="K438" s="92">
        <f>'LABOR SHEET'!C$8</f>
        <v>36</v>
      </c>
      <c r="L438" s="93">
        <f t="shared" si="631"/>
        <v>0.68400000000000005</v>
      </c>
      <c r="M438" s="93">
        <f t="shared" si="632"/>
        <v>210.672</v>
      </c>
      <c r="N438" s="93">
        <v>0.74</v>
      </c>
      <c r="O438" s="93">
        <f t="shared" si="633"/>
        <v>227.92</v>
      </c>
      <c r="P438" s="93">
        <f t="shared" si="634"/>
        <v>1.4239999999999999</v>
      </c>
      <c r="Q438" s="112">
        <f t="shared" si="635"/>
        <v>438.59199999999998</v>
      </c>
      <c r="R438" s="195"/>
      <c r="S438" s="195"/>
      <c r="T438" s="195"/>
      <c r="U438" s="195"/>
      <c r="V438" s="195"/>
      <c r="W438" s="195"/>
      <c r="X438" s="195"/>
      <c r="Y438" s="195"/>
      <c r="Z438" s="195"/>
      <c r="AA438" s="195"/>
      <c r="AB438" s="195"/>
      <c r="AC438" s="195"/>
      <c r="AD438" s="195"/>
      <c r="AE438" s="195"/>
      <c r="AF438" s="195"/>
      <c r="AG438" s="195"/>
      <c r="AH438" s="195"/>
      <c r="AI438" s="195"/>
      <c r="AJ438" s="195"/>
    </row>
    <row r="439" spans="1:36" s="31" customFormat="1">
      <c r="A439" s="55">
        <f>IF(F439&lt;&gt;"",1+MAX($A$2:A438),"")</f>
        <v>306</v>
      </c>
      <c r="B439" s="174"/>
      <c r="C439" s="60"/>
      <c r="D439" s="147" t="s">
        <v>187</v>
      </c>
      <c r="E439" s="148">
        <f>ROUNDUP(E438/32,0)</f>
        <v>9</v>
      </c>
      <c r="F439" s="124">
        <v>0</v>
      </c>
      <c r="G439" s="64">
        <f t="shared" si="623"/>
        <v>9</v>
      </c>
      <c r="H439" s="125" t="s">
        <v>124</v>
      </c>
      <c r="I439" s="90"/>
      <c r="J439" s="91"/>
      <c r="K439" s="92"/>
      <c r="L439" s="93"/>
      <c r="M439" s="93"/>
      <c r="N439" s="93"/>
      <c r="O439" s="93"/>
      <c r="P439" s="93"/>
      <c r="Q439" s="112"/>
      <c r="R439" s="195"/>
      <c r="S439" s="195"/>
      <c r="T439" s="195"/>
      <c r="U439" s="195"/>
      <c r="V439" s="195"/>
      <c r="W439" s="195"/>
      <c r="X439" s="195"/>
      <c r="Y439" s="195"/>
      <c r="Z439" s="195"/>
      <c r="AA439" s="195"/>
      <c r="AB439" s="195"/>
      <c r="AC439" s="195"/>
      <c r="AD439" s="195"/>
      <c r="AE439" s="195"/>
      <c r="AF439" s="195"/>
      <c r="AG439" s="195"/>
      <c r="AH439" s="195"/>
      <c r="AI439" s="195"/>
      <c r="AJ439" s="195"/>
    </row>
    <row r="440" spans="1:36" s="31" customFormat="1">
      <c r="A440" s="55">
        <f>IF(F440&lt;&gt;"",1+MAX($A$2:A439),"")</f>
        <v>307</v>
      </c>
      <c r="B440" s="174"/>
      <c r="C440" s="60"/>
      <c r="D440" s="147" t="s">
        <v>323</v>
      </c>
      <c r="E440" s="148">
        <f>ROUNDUP(E438*1.33,0)</f>
        <v>373</v>
      </c>
      <c r="F440" s="124">
        <v>0</v>
      </c>
      <c r="G440" s="64">
        <f t="shared" si="623"/>
        <v>373</v>
      </c>
      <c r="H440" s="125" t="s">
        <v>124</v>
      </c>
      <c r="I440" s="90">
        <v>2E-3</v>
      </c>
      <c r="J440" s="91">
        <f t="shared" ref="J440:J447" si="636">+I440*G440</f>
        <v>0.746</v>
      </c>
      <c r="K440" s="92">
        <f>'LABOR SHEET'!C$8</f>
        <v>36</v>
      </c>
      <c r="L440" s="93">
        <f t="shared" ref="L440:L447" si="637">I440*K440</f>
        <v>7.1999999999999995E-2</v>
      </c>
      <c r="M440" s="93">
        <f t="shared" ref="M440:M447" si="638">K440*J440</f>
        <v>26.856000000000002</v>
      </c>
      <c r="N440" s="151">
        <v>0.06</v>
      </c>
      <c r="O440" s="93">
        <f t="shared" ref="O440:O447" si="639">N440*G440</f>
        <v>22.38</v>
      </c>
      <c r="P440" s="93">
        <f t="shared" ref="P440:P447" si="640">(I440*K440)+N440</f>
        <v>0.13200000000000001</v>
      </c>
      <c r="Q440" s="112">
        <f t="shared" ref="Q440:Q447" si="641">P440*G440</f>
        <v>49.235999999999997</v>
      </c>
      <c r="R440" s="195"/>
      <c r="S440" s="195"/>
      <c r="T440" s="195"/>
      <c r="U440" s="195"/>
      <c r="V440" s="195"/>
      <c r="W440" s="195"/>
      <c r="X440" s="195"/>
      <c r="Y440" s="195"/>
      <c r="Z440" s="195"/>
      <c r="AA440" s="195"/>
      <c r="AB440" s="195"/>
      <c r="AC440" s="195"/>
      <c r="AD440" s="195"/>
      <c r="AE440" s="195"/>
      <c r="AF440" s="195"/>
      <c r="AG440" s="195"/>
      <c r="AH440" s="195"/>
      <c r="AI440" s="195"/>
      <c r="AJ440" s="195"/>
    </row>
    <row r="441" spans="1:36" s="31" customFormat="1">
      <c r="A441" s="55">
        <f>IF(F441&lt;&gt;"",1+MAX($A$2:A440),"")</f>
        <v>308</v>
      </c>
      <c r="B441" s="174"/>
      <c r="C441" s="60"/>
      <c r="D441" s="147" t="s">
        <v>324</v>
      </c>
      <c r="E441" s="148">
        <f>ROUNDUP(E439*16,0)</f>
        <v>144</v>
      </c>
      <c r="F441" s="124">
        <v>0.05</v>
      </c>
      <c r="G441" s="64">
        <f t="shared" si="623"/>
        <v>151.19999999999999</v>
      </c>
      <c r="H441" s="125" t="s">
        <v>119</v>
      </c>
      <c r="I441" s="90">
        <v>1.0999999999999999E-2</v>
      </c>
      <c r="J441" s="91">
        <f t="shared" si="636"/>
        <v>1.6632</v>
      </c>
      <c r="K441" s="92">
        <f>'LABOR SHEET'!C$8</f>
        <v>36</v>
      </c>
      <c r="L441" s="93">
        <f t="shared" si="637"/>
        <v>0.39600000000000002</v>
      </c>
      <c r="M441" s="93">
        <f t="shared" si="638"/>
        <v>59.8752</v>
      </c>
      <c r="N441" s="151">
        <v>0.03</v>
      </c>
      <c r="O441" s="93">
        <f t="shared" si="639"/>
        <v>4.5359999999999996</v>
      </c>
      <c r="P441" s="93">
        <f t="shared" si="640"/>
        <v>0.42599999999999999</v>
      </c>
      <c r="Q441" s="112">
        <f t="shared" si="641"/>
        <v>64.411199999999994</v>
      </c>
      <c r="R441" s="195"/>
      <c r="S441" s="195"/>
      <c r="T441" s="195"/>
      <c r="U441" s="195"/>
      <c r="V441" s="195"/>
      <c r="W441" s="195"/>
      <c r="X441" s="195"/>
      <c r="Y441" s="195"/>
      <c r="Z441" s="195"/>
      <c r="AA441" s="195"/>
      <c r="AB441" s="195"/>
      <c r="AC441" s="195"/>
      <c r="AD441" s="195"/>
      <c r="AE441" s="195"/>
      <c r="AF441" s="195"/>
      <c r="AG441" s="195"/>
      <c r="AH441" s="195"/>
      <c r="AI441" s="195"/>
      <c r="AJ441" s="195"/>
    </row>
    <row r="442" spans="1:36" s="31" customFormat="1">
      <c r="A442" s="55">
        <f>IF(F442&lt;&gt;"",1+MAX($A$2:A441),"")</f>
        <v>309</v>
      </c>
      <c r="B442" s="174"/>
      <c r="C442" s="60"/>
      <c r="D442" s="147" t="s">
        <v>325</v>
      </c>
      <c r="E442" s="148">
        <f>E438*0.084</f>
        <v>23.52</v>
      </c>
      <c r="F442" s="59">
        <v>0.05</v>
      </c>
      <c r="G442" s="64">
        <f t="shared" si="623"/>
        <v>24.696000000000002</v>
      </c>
      <c r="H442" s="125" t="s">
        <v>326</v>
      </c>
      <c r="I442" s="90">
        <v>0.11</v>
      </c>
      <c r="J442" s="91">
        <f t="shared" si="636"/>
        <v>2.7165599999999999</v>
      </c>
      <c r="K442" s="92">
        <f>'LABOR SHEET'!C$8</f>
        <v>36</v>
      </c>
      <c r="L442" s="93">
        <f t="shared" si="637"/>
        <v>3.96</v>
      </c>
      <c r="M442" s="93">
        <f t="shared" si="638"/>
        <v>97.79616</v>
      </c>
      <c r="N442" s="93">
        <v>0.5</v>
      </c>
      <c r="O442" s="93">
        <f t="shared" si="639"/>
        <v>12.348000000000001</v>
      </c>
      <c r="P442" s="93">
        <f t="shared" si="640"/>
        <v>4.46</v>
      </c>
      <c r="Q442" s="112">
        <f t="shared" si="641"/>
        <v>110.14416</v>
      </c>
      <c r="R442" s="195"/>
      <c r="S442" s="195"/>
      <c r="T442" s="195"/>
      <c r="U442" s="195"/>
      <c r="V442" s="195"/>
      <c r="W442" s="195"/>
      <c r="X442" s="195"/>
      <c r="Y442" s="195"/>
      <c r="Z442" s="195"/>
      <c r="AA442" s="195"/>
      <c r="AB442" s="195"/>
      <c r="AC442" s="195"/>
      <c r="AD442" s="195"/>
      <c r="AE442" s="195"/>
      <c r="AF442" s="195"/>
      <c r="AG442" s="195"/>
      <c r="AH442" s="195"/>
      <c r="AI442" s="195"/>
      <c r="AJ442" s="195"/>
    </row>
    <row r="443" spans="1:36" s="31" customFormat="1">
      <c r="A443" s="55">
        <f>IF(F443&lt;&gt;"",1+MAX($A$2:A442),"")</f>
        <v>310</v>
      </c>
      <c r="B443" s="174"/>
      <c r="C443" s="60"/>
      <c r="D443" s="155" t="s">
        <v>338</v>
      </c>
      <c r="E443" s="156">
        <v>2009</v>
      </c>
      <c r="F443" s="124">
        <v>0.1</v>
      </c>
      <c r="G443" s="64">
        <f t="shared" si="623"/>
        <v>2209.9</v>
      </c>
      <c r="H443" s="150" t="s">
        <v>67</v>
      </c>
      <c r="I443" s="90">
        <v>1.2E-2</v>
      </c>
      <c r="J443" s="91">
        <f t="shared" si="636"/>
        <v>26.518799999999999</v>
      </c>
      <c r="K443" s="92">
        <f>'LABOR SHEET'!C$8</f>
        <v>36</v>
      </c>
      <c r="L443" s="93">
        <f t="shared" si="637"/>
        <v>0.432</v>
      </c>
      <c r="M443" s="93">
        <f t="shared" si="638"/>
        <v>954.67679999999996</v>
      </c>
      <c r="N443" s="93">
        <v>1.22</v>
      </c>
      <c r="O443" s="93">
        <f t="shared" si="639"/>
        <v>2696.078</v>
      </c>
      <c r="P443" s="93">
        <f t="shared" si="640"/>
        <v>1.6519999999999999</v>
      </c>
      <c r="Q443" s="112">
        <f t="shared" si="641"/>
        <v>3650.7548000000002</v>
      </c>
      <c r="R443" s="195"/>
      <c r="S443" s="195"/>
      <c r="T443" s="195"/>
      <c r="U443" s="195"/>
      <c r="V443" s="195"/>
      <c r="W443" s="195"/>
      <c r="X443" s="195"/>
      <c r="Y443" s="195"/>
      <c r="Z443" s="195"/>
      <c r="AA443" s="195"/>
      <c r="AB443" s="195"/>
      <c r="AC443" s="195"/>
      <c r="AD443" s="195"/>
      <c r="AE443" s="195"/>
      <c r="AF443" s="195"/>
      <c r="AG443" s="195"/>
      <c r="AH443" s="195"/>
      <c r="AI443" s="195"/>
      <c r="AJ443" s="195"/>
    </row>
    <row r="444" spans="1:36" s="31" customFormat="1">
      <c r="A444" s="55">
        <f>IF(F444&lt;&gt;"",1+MAX($A$2:A443),"")</f>
        <v>311</v>
      </c>
      <c r="B444" s="174"/>
      <c r="C444" s="60"/>
      <c r="D444" s="192" t="s">
        <v>313</v>
      </c>
      <c r="E444" s="156">
        <v>1535</v>
      </c>
      <c r="F444" s="124">
        <v>0.05</v>
      </c>
      <c r="G444" s="64">
        <f t="shared" si="623"/>
        <v>1611.75</v>
      </c>
      <c r="H444" s="150" t="s">
        <v>119</v>
      </c>
      <c r="I444" s="90">
        <v>1.6E-2</v>
      </c>
      <c r="J444" s="91">
        <f t="shared" si="636"/>
        <v>25.788</v>
      </c>
      <c r="K444" s="92">
        <f>'LABOR SHEET'!C$8</f>
        <v>36</v>
      </c>
      <c r="L444" s="93">
        <f t="shared" si="637"/>
        <v>0.57599999999999996</v>
      </c>
      <c r="M444" s="93">
        <f t="shared" si="638"/>
        <v>928.36800000000005</v>
      </c>
      <c r="N444" s="93">
        <v>1.1000000000000001</v>
      </c>
      <c r="O444" s="93">
        <f t="shared" si="639"/>
        <v>1772.925</v>
      </c>
      <c r="P444" s="93">
        <f t="shared" si="640"/>
        <v>1.6759999999999999</v>
      </c>
      <c r="Q444" s="112">
        <f t="shared" si="641"/>
        <v>2701.2930000000001</v>
      </c>
      <c r="R444" s="195"/>
      <c r="S444" s="195"/>
      <c r="T444" s="195"/>
      <c r="U444" s="195"/>
      <c r="V444" s="195"/>
      <c r="W444" s="195"/>
      <c r="X444" s="195"/>
      <c r="Y444" s="195"/>
      <c r="Z444" s="195"/>
      <c r="AA444" s="195"/>
      <c r="AB444" s="195"/>
      <c r="AC444" s="195"/>
      <c r="AD444" s="195"/>
      <c r="AE444" s="195"/>
      <c r="AF444" s="195"/>
      <c r="AG444" s="195"/>
      <c r="AH444" s="195"/>
      <c r="AI444" s="195"/>
      <c r="AJ444" s="195"/>
    </row>
    <row r="445" spans="1:36" s="31" customFormat="1">
      <c r="A445" s="55">
        <f>IF(F445&lt;&gt;"",1+MAX($A$2:A444),"")</f>
        <v>312</v>
      </c>
      <c r="B445" s="174"/>
      <c r="C445" s="60"/>
      <c r="D445" s="192" t="s">
        <v>341</v>
      </c>
      <c r="E445" s="156">
        <v>482</v>
      </c>
      <c r="F445" s="124">
        <v>0.05</v>
      </c>
      <c r="G445" s="64">
        <f t="shared" si="623"/>
        <v>506.1</v>
      </c>
      <c r="H445" s="150" t="s">
        <v>119</v>
      </c>
      <c r="I445" s="90">
        <v>1.6E-2</v>
      </c>
      <c r="J445" s="91">
        <f t="shared" si="636"/>
        <v>8.0975999999999999</v>
      </c>
      <c r="K445" s="92">
        <f>'LABOR SHEET'!C$8</f>
        <v>36</v>
      </c>
      <c r="L445" s="93">
        <f t="shared" si="637"/>
        <v>0.57599999999999996</v>
      </c>
      <c r="M445" s="93">
        <f t="shared" si="638"/>
        <v>291.5136</v>
      </c>
      <c r="N445" s="93">
        <v>1.1000000000000001</v>
      </c>
      <c r="O445" s="93">
        <f t="shared" si="639"/>
        <v>556.71</v>
      </c>
      <c r="P445" s="93">
        <f t="shared" si="640"/>
        <v>1.6759999999999999</v>
      </c>
      <c r="Q445" s="112">
        <f t="shared" si="641"/>
        <v>848.22360000000003</v>
      </c>
      <c r="R445" s="195"/>
      <c r="S445" s="195"/>
      <c r="T445" s="195"/>
      <c r="U445" s="195"/>
      <c r="V445" s="195"/>
      <c r="W445" s="195"/>
      <c r="X445" s="195"/>
      <c r="Y445" s="195"/>
      <c r="Z445" s="195"/>
      <c r="AA445" s="195"/>
      <c r="AB445" s="195"/>
      <c r="AC445" s="195"/>
      <c r="AD445" s="195"/>
      <c r="AE445" s="195"/>
      <c r="AF445" s="195"/>
      <c r="AG445" s="195"/>
      <c r="AH445" s="195"/>
      <c r="AI445" s="195"/>
      <c r="AJ445" s="195"/>
    </row>
    <row r="446" spans="1:36" s="31" customFormat="1">
      <c r="A446" s="55">
        <f>IF(F446&lt;&gt;"",1+MAX($A$2:A445),"")</f>
        <v>313</v>
      </c>
      <c r="B446" s="174"/>
      <c r="C446" s="60"/>
      <c r="D446" s="192" t="s">
        <v>333</v>
      </c>
      <c r="E446" s="156">
        <v>161</v>
      </c>
      <c r="F446" s="124">
        <v>0.05</v>
      </c>
      <c r="G446" s="64">
        <f t="shared" si="623"/>
        <v>169.05</v>
      </c>
      <c r="H446" s="150" t="s">
        <v>119</v>
      </c>
      <c r="I446" s="90">
        <v>1.6E-2</v>
      </c>
      <c r="J446" s="91">
        <f t="shared" si="636"/>
        <v>2.7048000000000001</v>
      </c>
      <c r="K446" s="92">
        <f>'LABOR SHEET'!C$8</f>
        <v>36</v>
      </c>
      <c r="L446" s="93">
        <f t="shared" si="637"/>
        <v>0.57599999999999996</v>
      </c>
      <c r="M446" s="93">
        <f t="shared" si="638"/>
        <v>97.372799999999998</v>
      </c>
      <c r="N446" s="93">
        <v>1.1000000000000001</v>
      </c>
      <c r="O446" s="93">
        <f t="shared" si="639"/>
        <v>185.95500000000001</v>
      </c>
      <c r="P446" s="93">
        <f t="shared" si="640"/>
        <v>1.6759999999999999</v>
      </c>
      <c r="Q446" s="112">
        <f t="shared" si="641"/>
        <v>283.32780000000002</v>
      </c>
      <c r="R446" s="195"/>
      <c r="S446" s="195"/>
      <c r="T446" s="195"/>
      <c r="U446" s="195"/>
      <c r="V446" s="195"/>
      <c r="W446" s="195"/>
      <c r="X446" s="195"/>
      <c r="Y446" s="195"/>
      <c r="Z446" s="195"/>
      <c r="AA446" s="195"/>
      <c r="AB446" s="195"/>
      <c r="AC446" s="195"/>
      <c r="AD446" s="195"/>
      <c r="AE446" s="195"/>
      <c r="AF446" s="195"/>
      <c r="AG446" s="195"/>
      <c r="AH446" s="195"/>
      <c r="AI446" s="195"/>
      <c r="AJ446" s="195"/>
    </row>
    <row r="447" spans="1:36" s="31" customFormat="1">
      <c r="A447" s="55">
        <f>IF(F447&lt;&gt;"",1+MAX($A$2:A446),"")</f>
        <v>314</v>
      </c>
      <c r="B447" s="174"/>
      <c r="C447" s="60"/>
      <c r="D447" s="192" t="s">
        <v>334</v>
      </c>
      <c r="E447" s="156">
        <v>321</v>
      </c>
      <c r="F447" s="124">
        <v>0.05</v>
      </c>
      <c r="G447" s="64">
        <f t="shared" si="623"/>
        <v>337.05</v>
      </c>
      <c r="H447" s="150" t="s">
        <v>119</v>
      </c>
      <c r="I447" s="90">
        <v>0.01</v>
      </c>
      <c r="J447" s="91">
        <f t="shared" si="636"/>
        <v>3.3704999999999998</v>
      </c>
      <c r="K447" s="92">
        <f>'LABOR SHEET'!C$8</f>
        <v>36</v>
      </c>
      <c r="L447" s="93">
        <f t="shared" si="637"/>
        <v>0.36</v>
      </c>
      <c r="M447" s="93">
        <f t="shared" si="638"/>
        <v>121.33799999999999</v>
      </c>
      <c r="N447" s="93">
        <v>0.5</v>
      </c>
      <c r="O447" s="93">
        <f t="shared" si="639"/>
        <v>168.52500000000001</v>
      </c>
      <c r="P447" s="93">
        <f t="shared" si="640"/>
        <v>0.86</v>
      </c>
      <c r="Q447" s="112">
        <f t="shared" si="641"/>
        <v>289.863</v>
      </c>
      <c r="R447" s="195"/>
      <c r="S447" s="195"/>
      <c r="T447" s="195"/>
      <c r="U447" s="195"/>
      <c r="V447" s="195"/>
      <c r="W447" s="195"/>
      <c r="X447" s="195"/>
      <c r="Y447" s="195"/>
      <c r="Z447" s="195"/>
      <c r="AA447" s="195"/>
      <c r="AB447" s="195"/>
      <c r="AC447" s="195"/>
      <c r="AD447" s="195"/>
      <c r="AE447" s="195"/>
      <c r="AF447" s="195"/>
      <c r="AG447" s="195"/>
      <c r="AH447" s="195"/>
      <c r="AI447" s="195"/>
      <c r="AJ447" s="195"/>
    </row>
    <row r="448" spans="1:36" s="31" customFormat="1">
      <c r="A448" s="55" t="str">
        <f>IF(F448&lt;&gt;"",1+MAX($A$2:A447),"")</f>
        <v/>
      </c>
      <c r="B448" s="174"/>
      <c r="C448" s="60"/>
      <c r="D448" s="192"/>
      <c r="E448" s="148"/>
      <c r="F448" s="124"/>
      <c r="G448" s="145"/>
      <c r="H448" s="125"/>
      <c r="I448" s="90"/>
      <c r="J448" s="91"/>
      <c r="K448" s="92"/>
      <c r="L448" s="93"/>
      <c r="M448" s="93"/>
      <c r="N448" s="93"/>
      <c r="O448" s="93"/>
      <c r="P448" s="93"/>
      <c r="Q448" s="111"/>
      <c r="R448" s="195"/>
      <c r="S448" s="195"/>
      <c r="T448" s="195"/>
      <c r="U448" s="195"/>
      <c r="V448" s="195"/>
      <c r="W448" s="195"/>
      <c r="X448" s="195"/>
      <c r="Y448" s="195"/>
      <c r="Z448" s="195"/>
      <c r="AA448" s="195"/>
      <c r="AB448" s="195"/>
      <c r="AC448" s="195"/>
      <c r="AD448" s="195"/>
      <c r="AE448" s="195"/>
      <c r="AF448" s="195"/>
      <c r="AG448" s="195"/>
      <c r="AH448" s="195"/>
      <c r="AI448" s="195"/>
      <c r="AJ448" s="195"/>
    </row>
    <row r="449" spans="1:36" s="31" customFormat="1">
      <c r="A449" s="55" t="str">
        <f>IF(F449&lt;&gt;"",1+MAX($A$2:A448),"")</f>
        <v/>
      </c>
      <c r="B449" s="174"/>
      <c r="C449" s="60"/>
      <c r="D449" s="187" t="s">
        <v>343</v>
      </c>
      <c r="E449" s="188"/>
      <c r="F449" s="189"/>
      <c r="G449" s="190"/>
      <c r="H449" s="191"/>
      <c r="I449" s="90"/>
      <c r="J449" s="91"/>
      <c r="K449" s="92"/>
      <c r="L449" s="93"/>
      <c r="M449" s="93"/>
      <c r="N449" s="93"/>
      <c r="O449" s="93"/>
      <c r="P449" s="93"/>
      <c r="Q449" s="111"/>
      <c r="R449" s="195"/>
      <c r="S449" s="195"/>
      <c r="T449" s="195"/>
      <c r="U449" s="195"/>
      <c r="V449" s="195"/>
      <c r="W449" s="195"/>
      <c r="X449" s="195"/>
      <c r="Y449" s="195"/>
      <c r="Z449" s="195"/>
      <c r="AA449" s="195"/>
      <c r="AB449" s="195"/>
      <c r="AC449" s="195"/>
      <c r="AD449" s="195"/>
      <c r="AE449" s="195"/>
      <c r="AF449" s="195"/>
      <c r="AG449" s="195"/>
      <c r="AH449" s="195"/>
      <c r="AI449" s="195"/>
      <c r="AJ449" s="195"/>
    </row>
    <row r="450" spans="1:36" s="31" customFormat="1">
      <c r="A450" s="55">
        <f>IF(F450&lt;&gt;"",1+MAX($A$2:A449),"")</f>
        <v>315</v>
      </c>
      <c r="B450" s="174"/>
      <c r="C450" s="60"/>
      <c r="D450" s="192" t="s">
        <v>322</v>
      </c>
      <c r="E450" s="156">
        <v>141</v>
      </c>
      <c r="F450" s="124">
        <v>0.1</v>
      </c>
      <c r="G450" s="64">
        <f t="shared" ref="G450:G459" si="642">(F450*E450)+E450</f>
        <v>155.1</v>
      </c>
      <c r="H450" s="150" t="s">
        <v>67</v>
      </c>
      <c r="I450" s="90">
        <v>1.7000000000000001E-2</v>
      </c>
      <c r="J450" s="91">
        <f t="shared" ref="J450" si="643">+I450*G450</f>
        <v>2.6366999999999998</v>
      </c>
      <c r="K450" s="92">
        <f>'LABOR SHEET'!C$8</f>
        <v>36</v>
      </c>
      <c r="L450" s="93">
        <f t="shared" ref="L450" si="644">I450*K450</f>
        <v>0.61199999999999999</v>
      </c>
      <c r="M450" s="93">
        <f t="shared" ref="M450" si="645">K450*J450</f>
        <v>94.921199999999999</v>
      </c>
      <c r="N450" s="93">
        <v>0.495</v>
      </c>
      <c r="O450" s="93">
        <f t="shared" ref="O450" si="646">N450*G450</f>
        <v>76.774500000000003</v>
      </c>
      <c r="P450" s="93">
        <f t="shared" ref="P450" si="647">(I450*K450)+N450</f>
        <v>1.107</v>
      </c>
      <c r="Q450" s="112">
        <f t="shared" ref="Q450" si="648">P450*G450</f>
        <v>171.69569999999999</v>
      </c>
      <c r="R450" s="195"/>
      <c r="S450" s="195"/>
      <c r="T450" s="195"/>
      <c r="U450" s="195"/>
      <c r="V450" s="195"/>
      <c r="W450" s="195"/>
      <c r="X450" s="195"/>
      <c r="Y450" s="195"/>
      <c r="Z450" s="195"/>
      <c r="AA450" s="195"/>
      <c r="AB450" s="195"/>
      <c r="AC450" s="195"/>
      <c r="AD450" s="195"/>
      <c r="AE450" s="195"/>
      <c r="AF450" s="195"/>
      <c r="AG450" s="195"/>
      <c r="AH450" s="195"/>
      <c r="AI450" s="195"/>
      <c r="AJ450" s="195"/>
    </row>
    <row r="451" spans="1:36" s="31" customFormat="1">
      <c r="A451" s="55">
        <f>IF(F451&lt;&gt;"",1+MAX($A$2:A450),"")</f>
        <v>316</v>
      </c>
      <c r="B451" s="174"/>
      <c r="C451" s="60"/>
      <c r="D451" s="147" t="s">
        <v>187</v>
      </c>
      <c r="E451" s="148">
        <f>ROUNDUP(E450/32,0)</f>
        <v>5</v>
      </c>
      <c r="F451" s="124">
        <v>0</v>
      </c>
      <c r="G451" s="64">
        <f t="shared" si="642"/>
        <v>5</v>
      </c>
      <c r="H451" s="125" t="s">
        <v>124</v>
      </c>
      <c r="I451" s="90"/>
      <c r="J451" s="91"/>
      <c r="K451" s="92"/>
      <c r="L451" s="93"/>
      <c r="M451" s="93"/>
      <c r="N451" s="93"/>
      <c r="O451" s="93"/>
      <c r="P451" s="93"/>
      <c r="Q451" s="112"/>
      <c r="R451" s="195"/>
      <c r="S451" s="195"/>
      <c r="T451" s="195"/>
      <c r="U451" s="195"/>
      <c r="V451" s="195"/>
      <c r="W451" s="195"/>
      <c r="X451" s="195"/>
      <c r="Y451" s="195"/>
      <c r="Z451" s="195"/>
      <c r="AA451" s="195"/>
      <c r="AB451" s="195"/>
      <c r="AC451" s="195"/>
      <c r="AD451" s="195"/>
      <c r="AE451" s="195"/>
      <c r="AF451" s="195"/>
      <c r="AG451" s="195"/>
      <c r="AH451" s="195"/>
      <c r="AI451" s="195"/>
      <c r="AJ451" s="195"/>
    </row>
    <row r="452" spans="1:36" s="31" customFormat="1">
      <c r="A452" s="55">
        <f>IF(F452&lt;&gt;"",1+MAX($A$2:A451),"")</f>
        <v>317</v>
      </c>
      <c r="B452" s="174"/>
      <c r="C452" s="60"/>
      <c r="D452" s="147" t="s">
        <v>323</v>
      </c>
      <c r="E452" s="148">
        <f>ROUNDUP(E450*1.33,0)</f>
        <v>188</v>
      </c>
      <c r="F452" s="124">
        <v>0</v>
      </c>
      <c r="G452" s="64">
        <f t="shared" si="642"/>
        <v>188</v>
      </c>
      <c r="H452" s="125" t="s">
        <v>124</v>
      </c>
      <c r="I452" s="90">
        <v>2E-3</v>
      </c>
      <c r="J452" s="91">
        <f t="shared" ref="J452:J459" si="649">+I452*G452</f>
        <v>0.376</v>
      </c>
      <c r="K452" s="92">
        <f>'LABOR SHEET'!C$8</f>
        <v>36</v>
      </c>
      <c r="L452" s="93">
        <f t="shared" ref="L452:L459" si="650">I452*K452</f>
        <v>7.1999999999999995E-2</v>
      </c>
      <c r="M452" s="93">
        <f t="shared" ref="M452:M459" si="651">K452*J452</f>
        <v>13.536</v>
      </c>
      <c r="N452" s="151">
        <v>0.06</v>
      </c>
      <c r="O452" s="93">
        <f t="shared" ref="O452:O459" si="652">N452*G452</f>
        <v>11.28</v>
      </c>
      <c r="P452" s="93">
        <f t="shared" ref="P452:P459" si="653">(I452*K452)+N452</f>
        <v>0.13200000000000001</v>
      </c>
      <c r="Q452" s="112">
        <f t="shared" ref="Q452:Q459" si="654">P452*G452</f>
        <v>24.815999999999999</v>
      </c>
      <c r="R452" s="195"/>
      <c r="S452" s="195"/>
      <c r="T452" s="195"/>
      <c r="U452" s="195"/>
      <c r="V452" s="195"/>
      <c r="W452" s="195"/>
      <c r="X452" s="195"/>
      <c r="Y452" s="195"/>
      <c r="Z452" s="195"/>
      <c r="AA452" s="195"/>
      <c r="AB452" s="195"/>
      <c r="AC452" s="195"/>
      <c r="AD452" s="195"/>
      <c r="AE452" s="195"/>
      <c r="AF452" s="195"/>
      <c r="AG452" s="195"/>
      <c r="AH452" s="195"/>
      <c r="AI452" s="195"/>
      <c r="AJ452" s="195"/>
    </row>
    <row r="453" spans="1:36" s="31" customFormat="1">
      <c r="A453" s="55">
        <f>IF(F453&lt;&gt;"",1+MAX($A$2:A452),"")</f>
        <v>318</v>
      </c>
      <c r="B453" s="174"/>
      <c r="C453" s="60"/>
      <c r="D453" s="147" t="s">
        <v>324</v>
      </c>
      <c r="E453" s="148">
        <f>ROUNDUP(E451*16,0)</f>
        <v>80</v>
      </c>
      <c r="F453" s="124">
        <v>0.05</v>
      </c>
      <c r="G453" s="64">
        <f t="shared" si="642"/>
        <v>84</v>
      </c>
      <c r="H453" s="125" t="s">
        <v>119</v>
      </c>
      <c r="I453" s="90">
        <v>1.0999999999999999E-2</v>
      </c>
      <c r="J453" s="91">
        <f t="shared" si="649"/>
        <v>0.92400000000000004</v>
      </c>
      <c r="K453" s="92">
        <f>'LABOR SHEET'!C$8</f>
        <v>36</v>
      </c>
      <c r="L453" s="93">
        <f t="shared" si="650"/>
        <v>0.39600000000000002</v>
      </c>
      <c r="M453" s="93">
        <f t="shared" si="651"/>
        <v>33.264000000000003</v>
      </c>
      <c r="N453" s="151">
        <v>0.03</v>
      </c>
      <c r="O453" s="93">
        <f t="shared" si="652"/>
        <v>2.52</v>
      </c>
      <c r="P453" s="93">
        <f t="shared" si="653"/>
        <v>0.42599999999999999</v>
      </c>
      <c r="Q453" s="112">
        <f t="shared" si="654"/>
        <v>35.783999999999999</v>
      </c>
      <c r="R453" s="195"/>
      <c r="S453" s="195"/>
      <c r="T453" s="195"/>
      <c r="U453" s="195"/>
      <c r="V453" s="195"/>
      <c r="W453" s="195"/>
      <c r="X453" s="195"/>
      <c r="Y453" s="195"/>
      <c r="Z453" s="195"/>
      <c r="AA453" s="195"/>
      <c r="AB453" s="195"/>
      <c r="AC453" s="195"/>
      <c r="AD453" s="195"/>
      <c r="AE453" s="195"/>
      <c r="AF453" s="195"/>
      <c r="AG453" s="195"/>
      <c r="AH453" s="195"/>
      <c r="AI453" s="195"/>
      <c r="AJ453" s="195"/>
    </row>
    <row r="454" spans="1:36" s="31" customFormat="1">
      <c r="A454" s="55">
        <f>IF(F454&lt;&gt;"",1+MAX($A$2:A453),"")</f>
        <v>319</v>
      </c>
      <c r="B454" s="174"/>
      <c r="C454" s="60"/>
      <c r="D454" s="147" t="s">
        <v>325</v>
      </c>
      <c r="E454" s="148">
        <f>E450*0.084</f>
        <v>11.843999999999999</v>
      </c>
      <c r="F454" s="59">
        <v>0.05</v>
      </c>
      <c r="G454" s="64">
        <f t="shared" si="642"/>
        <v>12.436199999999999</v>
      </c>
      <c r="H454" s="125" t="s">
        <v>326</v>
      </c>
      <c r="I454" s="90">
        <v>0.11</v>
      </c>
      <c r="J454" s="91">
        <f t="shared" si="649"/>
        <v>1.367982</v>
      </c>
      <c r="K454" s="92">
        <f>'LABOR SHEET'!C$8</f>
        <v>36</v>
      </c>
      <c r="L454" s="93">
        <f t="shared" si="650"/>
        <v>3.96</v>
      </c>
      <c r="M454" s="93">
        <f t="shared" si="651"/>
        <v>49.247351999999999</v>
      </c>
      <c r="N454" s="93">
        <v>0.5</v>
      </c>
      <c r="O454" s="93">
        <f t="shared" si="652"/>
        <v>6.2180999999999997</v>
      </c>
      <c r="P454" s="93">
        <f t="shared" si="653"/>
        <v>4.46</v>
      </c>
      <c r="Q454" s="112">
        <f t="shared" si="654"/>
        <v>55.465451999999999</v>
      </c>
      <c r="R454" s="195"/>
      <c r="S454" s="195"/>
      <c r="T454" s="195"/>
      <c r="U454" s="195"/>
      <c r="V454" s="195"/>
      <c r="W454" s="195"/>
      <c r="X454" s="195"/>
      <c r="Y454" s="195"/>
      <c r="Z454" s="195"/>
      <c r="AA454" s="195"/>
      <c r="AB454" s="195"/>
      <c r="AC454" s="195"/>
      <c r="AD454" s="195"/>
      <c r="AE454" s="195"/>
      <c r="AF454" s="195"/>
      <c r="AG454" s="195"/>
      <c r="AH454" s="195"/>
      <c r="AI454" s="195"/>
      <c r="AJ454" s="195"/>
    </row>
    <row r="455" spans="1:36" s="31" customFormat="1">
      <c r="A455" s="55">
        <f>IF(F455&lt;&gt;"",1+MAX($A$2:A454),"")</f>
        <v>320</v>
      </c>
      <c r="B455" s="174"/>
      <c r="C455" s="60"/>
      <c r="D455" s="155" t="s">
        <v>338</v>
      </c>
      <c r="E455" s="156">
        <v>71</v>
      </c>
      <c r="F455" s="124">
        <v>0.1</v>
      </c>
      <c r="G455" s="64">
        <f t="shared" si="642"/>
        <v>78.099999999999994</v>
      </c>
      <c r="H455" s="150" t="s">
        <v>67</v>
      </c>
      <c r="I455" s="90">
        <v>1.2E-2</v>
      </c>
      <c r="J455" s="91">
        <f t="shared" si="649"/>
        <v>0.93720000000000003</v>
      </c>
      <c r="K455" s="92">
        <f>'LABOR SHEET'!C$8</f>
        <v>36</v>
      </c>
      <c r="L455" s="93">
        <f t="shared" si="650"/>
        <v>0.432</v>
      </c>
      <c r="M455" s="93">
        <f t="shared" si="651"/>
        <v>33.739199999999997</v>
      </c>
      <c r="N455" s="93">
        <v>1.22</v>
      </c>
      <c r="O455" s="93">
        <f t="shared" si="652"/>
        <v>95.281999999999996</v>
      </c>
      <c r="P455" s="93">
        <f t="shared" si="653"/>
        <v>1.6519999999999999</v>
      </c>
      <c r="Q455" s="112">
        <f t="shared" si="654"/>
        <v>129.02119999999999</v>
      </c>
      <c r="R455" s="195"/>
      <c r="S455" s="195"/>
      <c r="T455" s="195"/>
      <c r="U455" s="195"/>
      <c r="V455" s="195"/>
      <c r="W455" s="195"/>
      <c r="X455" s="195"/>
      <c r="Y455" s="195"/>
      <c r="Z455" s="195"/>
      <c r="AA455" s="195"/>
      <c r="AB455" s="195"/>
      <c r="AC455" s="195"/>
      <c r="AD455" s="195"/>
      <c r="AE455" s="195"/>
      <c r="AF455" s="195"/>
      <c r="AG455" s="195"/>
      <c r="AH455" s="195"/>
      <c r="AI455" s="195"/>
      <c r="AJ455" s="195"/>
    </row>
    <row r="456" spans="1:36" s="31" customFormat="1">
      <c r="A456" s="55">
        <f>IF(F456&lt;&gt;"",1+MAX($A$2:A455),"")</f>
        <v>321</v>
      </c>
      <c r="B456" s="174"/>
      <c r="C456" s="60"/>
      <c r="D456" s="192" t="s">
        <v>313</v>
      </c>
      <c r="E456" s="156">
        <v>66</v>
      </c>
      <c r="F456" s="124">
        <v>0.05</v>
      </c>
      <c r="G456" s="64">
        <f t="shared" si="642"/>
        <v>69.3</v>
      </c>
      <c r="H456" s="150" t="s">
        <v>119</v>
      </c>
      <c r="I456" s="90">
        <v>1.6E-2</v>
      </c>
      <c r="J456" s="91">
        <f t="shared" si="649"/>
        <v>1.1088</v>
      </c>
      <c r="K456" s="92">
        <f>'LABOR SHEET'!C$8</f>
        <v>36</v>
      </c>
      <c r="L456" s="93">
        <f t="shared" si="650"/>
        <v>0.57599999999999996</v>
      </c>
      <c r="M456" s="93">
        <f t="shared" si="651"/>
        <v>39.916800000000002</v>
      </c>
      <c r="N456" s="93">
        <v>1.1000000000000001</v>
      </c>
      <c r="O456" s="93">
        <f t="shared" si="652"/>
        <v>76.23</v>
      </c>
      <c r="P456" s="93">
        <f t="shared" si="653"/>
        <v>1.6759999999999999</v>
      </c>
      <c r="Q456" s="112">
        <f t="shared" si="654"/>
        <v>116.1468</v>
      </c>
      <c r="R456" s="195"/>
      <c r="S456" s="195"/>
      <c r="T456" s="195"/>
      <c r="U456" s="195"/>
      <c r="V456" s="195"/>
      <c r="W456" s="195"/>
      <c r="X456" s="195"/>
      <c r="Y456" s="195"/>
      <c r="Z456" s="195"/>
      <c r="AA456" s="195"/>
      <c r="AB456" s="195"/>
      <c r="AC456" s="195"/>
      <c r="AD456" s="195"/>
      <c r="AE456" s="195"/>
      <c r="AF456" s="195"/>
      <c r="AG456" s="195"/>
      <c r="AH456" s="195"/>
      <c r="AI456" s="195"/>
      <c r="AJ456" s="195"/>
    </row>
    <row r="457" spans="1:36" s="31" customFormat="1">
      <c r="A457" s="55">
        <f>IF(F457&lt;&gt;"",1+MAX($A$2:A456),"")</f>
        <v>322</v>
      </c>
      <c r="B457" s="174"/>
      <c r="C457" s="60"/>
      <c r="D457" s="192" t="s">
        <v>341</v>
      </c>
      <c r="E457" s="156">
        <v>17</v>
      </c>
      <c r="F457" s="124">
        <v>0.05</v>
      </c>
      <c r="G457" s="64">
        <f t="shared" si="642"/>
        <v>17.850000000000001</v>
      </c>
      <c r="H457" s="150" t="s">
        <v>119</v>
      </c>
      <c r="I457" s="90">
        <v>1.6E-2</v>
      </c>
      <c r="J457" s="91">
        <f t="shared" si="649"/>
        <v>0.28560000000000002</v>
      </c>
      <c r="K457" s="92">
        <f>'LABOR SHEET'!C$8</f>
        <v>36</v>
      </c>
      <c r="L457" s="93">
        <f t="shared" si="650"/>
        <v>0.57599999999999996</v>
      </c>
      <c r="M457" s="93">
        <f t="shared" si="651"/>
        <v>10.281599999999999</v>
      </c>
      <c r="N457" s="93">
        <v>1.1000000000000001</v>
      </c>
      <c r="O457" s="93">
        <f t="shared" si="652"/>
        <v>19.635000000000002</v>
      </c>
      <c r="P457" s="93">
        <f t="shared" si="653"/>
        <v>1.6759999999999999</v>
      </c>
      <c r="Q457" s="112">
        <f t="shared" si="654"/>
        <v>29.916599999999999</v>
      </c>
      <c r="R457" s="195"/>
      <c r="S457" s="195"/>
      <c r="T457" s="195"/>
      <c r="U457" s="195"/>
      <c r="V457" s="195"/>
      <c r="W457" s="195"/>
      <c r="X457" s="195"/>
      <c r="Y457" s="195"/>
      <c r="Z457" s="195"/>
      <c r="AA457" s="195"/>
      <c r="AB457" s="195"/>
      <c r="AC457" s="195"/>
      <c r="AD457" s="195"/>
      <c r="AE457" s="195"/>
      <c r="AF457" s="195"/>
      <c r="AG457" s="195"/>
      <c r="AH457" s="195"/>
      <c r="AI457" s="195"/>
      <c r="AJ457" s="195"/>
    </row>
    <row r="458" spans="1:36" s="31" customFormat="1">
      <c r="A458" s="55">
        <f>IF(F458&lt;&gt;"",1+MAX($A$2:A457),"")</f>
        <v>323</v>
      </c>
      <c r="B458" s="174"/>
      <c r="C458" s="60"/>
      <c r="D458" s="192" t="s">
        <v>333</v>
      </c>
      <c r="E458" s="156">
        <v>6</v>
      </c>
      <c r="F458" s="124">
        <v>0.05</v>
      </c>
      <c r="G458" s="64">
        <f t="shared" si="642"/>
        <v>6.3</v>
      </c>
      <c r="H458" s="150" t="s">
        <v>119</v>
      </c>
      <c r="I458" s="90">
        <v>1.6E-2</v>
      </c>
      <c r="J458" s="91">
        <f t="shared" si="649"/>
        <v>0.1008</v>
      </c>
      <c r="K458" s="92">
        <f>'LABOR SHEET'!C$8</f>
        <v>36</v>
      </c>
      <c r="L458" s="93">
        <f t="shared" si="650"/>
        <v>0.57599999999999996</v>
      </c>
      <c r="M458" s="93">
        <f t="shared" si="651"/>
        <v>3.6288</v>
      </c>
      <c r="N458" s="93">
        <v>1.1000000000000001</v>
      </c>
      <c r="O458" s="93">
        <f t="shared" si="652"/>
        <v>6.93</v>
      </c>
      <c r="P458" s="93">
        <f t="shared" si="653"/>
        <v>1.6759999999999999</v>
      </c>
      <c r="Q458" s="112">
        <f t="shared" si="654"/>
        <v>10.5588</v>
      </c>
      <c r="R458" s="195"/>
      <c r="S458" s="195"/>
      <c r="T458" s="195"/>
      <c r="U458" s="195"/>
      <c r="V458" s="195"/>
      <c r="W458" s="195"/>
      <c r="X458" s="195"/>
      <c r="Y458" s="195"/>
      <c r="Z458" s="195"/>
      <c r="AA458" s="195"/>
      <c r="AB458" s="195"/>
      <c r="AC458" s="195"/>
      <c r="AD458" s="195"/>
      <c r="AE458" s="195"/>
      <c r="AF458" s="195"/>
      <c r="AG458" s="195"/>
      <c r="AH458" s="195"/>
      <c r="AI458" s="195"/>
      <c r="AJ458" s="195"/>
    </row>
    <row r="459" spans="1:36" s="31" customFormat="1">
      <c r="A459" s="55">
        <f>IF(F459&lt;&gt;"",1+MAX($A$2:A458),"")</f>
        <v>324</v>
      </c>
      <c r="B459" s="174"/>
      <c r="C459" s="60"/>
      <c r="D459" s="192" t="s">
        <v>334</v>
      </c>
      <c r="E459" s="156">
        <v>23</v>
      </c>
      <c r="F459" s="124">
        <v>0.05</v>
      </c>
      <c r="G459" s="64">
        <f t="shared" si="642"/>
        <v>24.15</v>
      </c>
      <c r="H459" s="150" t="s">
        <v>119</v>
      </c>
      <c r="I459" s="90">
        <v>0.01</v>
      </c>
      <c r="J459" s="91">
        <f t="shared" si="649"/>
        <v>0.24149999999999999</v>
      </c>
      <c r="K459" s="92">
        <f>'LABOR SHEET'!C$8</f>
        <v>36</v>
      </c>
      <c r="L459" s="93">
        <f t="shared" si="650"/>
        <v>0.36</v>
      </c>
      <c r="M459" s="93">
        <f t="shared" si="651"/>
        <v>8.6940000000000008</v>
      </c>
      <c r="N459" s="93">
        <v>0.5</v>
      </c>
      <c r="O459" s="93">
        <f t="shared" si="652"/>
        <v>12.074999999999999</v>
      </c>
      <c r="P459" s="93">
        <f t="shared" si="653"/>
        <v>0.86</v>
      </c>
      <c r="Q459" s="112">
        <f t="shared" si="654"/>
        <v>20.768999999999998</v>
      </c>
      <c r="R459" s="195"/>
      <c r="S459" s="195"/>
      <c r="T459" s="195"/>
      <c r="U459" s="195"/>
      <c r="V459" s="195"/>
      <c r="W459" s="195"/>
      <c r="X459" s="195"/>
      <c r="Y459" s="195"/>
      <c r="Z459" s="195"/>
      <c r="AA459" s="195"/>
      <c r="AB459" s="195"/>
      <c r="AC459" s="195"/>
      <c r="AD459" s="195"/>
      <c r="AE459" s="195"/>
      <c r="AF459" s="195"/>
      <c r="AG459" s="195"/>
      <c r="AH459" s="195"/>
      <c r="AI459" s="195"/>
      <c r="AJ459" s="195"/>
    </row>
    <row r="460" spans="1:36" s="31" customFormat="1">
      <c r="A460" s="55" t="str">
        <f>IF(F460&lt;&gt;"",1+MAX($A$2:A459),"")</f>
        <v/>
      </c>
      <c r="B460" s="174"/>
      <c r="C460" s="60"/>
      <c r="D460" s="192"/>
      <c r="E460" s="148"/>
      <c r="F460" s="124"/>
      <c r="G460" s="145"/>
      <c r="H460" s="125"/>
      <c r="I460" s="90"/>
      <c r="J460" s="91"/>
      <c r="K460" s="92"/>
      <c r="L460" s="93"/>
      <c r="M460" s="93"/>
      <c r="N460" s="93"/>
      <c r="O460" s="93"/>
      <c r="P460" s="93"/>
      <c r="Q460" s="111"/>
      <c r="R460" s="195"/>
      <c r="S460" s="195"/>
      <c r="T460" s="195"/>
      <c r="U460" s="195"/>
      <c r="V460" s="195"/>
      <c r="W460" s="195"/>
      <c r="X460" s="195"/>
      <c r="Y460" s="195"/>
      <c r="Z460" s="195"/>
      <c r="AA460" s="195"/>
      <c r="AB460" s="195"/>
      <c r="AC460" s="195"/>
      <c r="AD460" s="195"/>
      <c r="AE460" s="195"/>
      <c r="AF460" s="195"/>
      <c r="AG460" s="195"/>
      <c r="AH460" s="195"/>
      <c r="AI460" s="195"/>
      <c r="AJ460" s="195"/>
    </row>
    <row r="461" spans="1:36" s="31" customFormat="1">
      <c r="A461" s="55" t="str">
        <f>IF(F461&lt;&gt;"",1+MAX($A$2:A460),"")</f>
        <v/>
      </c>
      <c r="B461" s="174"/>
      <c r="C461" s="60"/>
      <c r="D461" s="187" t="s">
        <v>344</v>
      </c>
      <c r="E461" s="188"/>
      <c r="F461" s="189"/>
      <c r="G461" s="190"/>
      <c r="H461" s="191"/>
      <c r="I461" s="90"/>
      <c r="J461" s="91"/>
      <c r="K461" s="92"/>
      <c r="L461" s="93"/>
      <c r="M461" s="93"/>
      <c r="N461" s="93"/>
      <c r="O461" s="93"/>
      <c r="P461" s="93"/>
      <c r="Q461" s="111"/>
      <c r="R461" s="195"/>
      <c r="S461" s="195"/>
      <c r="T461" s="195"/>
      <c r="U461" s="195"/>
      <c r="V461" s="195"/>
      <c r="W461" s="195"/>
      <c r="X461" s="195"/>
      <c r="Y461" s="195"/>
      <c r="Z461" s="195"/>
      <c r="AA461" s="195"/>
      <c r="AB461" s="195"/>
      <c r="AC461" s="195"/>
      <c r="AD461" s="195"/>
      <c r="AE461" s="195"/>
      <c r="AF461" s="195"/>
      <c r="AG461" s="195"/>
      <c r="AH461" s="195"/>
      <c r="AI461" s="195"/>
      <c r="AJ461" s="195"/>
    </row>
    <row r="462" spans="1:36" s="31" customFormat="1">
      <c r="A462" s="55">
        <f>IF(F462&lt;&gt;"",1+MAX($A$2:A461),"")</f>
        <v>325</v>
      </c>
      <c r="B462" s="174"/>
      <c r="C462" s="60"/>
      <c r="D462" s="192" t="s">
        <v>322</v>
      </c>
      <c r="E462" s="156">
        <v>395</v>
      </c>
      <c r="F462" s="124">
        <v>0.1</v>
      </c>
      <c r="G462" s="64">
        <f t="shared" ref="G462:G471" si="655">(F462*E462)+E462</f>
        <v>434.5</v>
      </c>
      <c r="H462" s="150" t="s">
        <v>67</v>
      </c>
      <c r="I462" s="90">
        <v>1.7000000000000001E-2</v>
      </c>
      <c r="J462" s="91">
        <f t="shared" ref="J462" si="656">+I462*G462</f>
        <v>7.3864999999999998</v>
      </c>
      <c r="K462" s="92">
        <f>'LABOR SHEET'!C$8</f>
        <v>36</v>
      </c>
      <c r="L462" s="93">
        <f t="shared" ref="L462" si="657">I462*K462</f>
        <v>0.61199999999999999</v>
      </c>
      <c r="M462" s="93">
        <f t="shared" ref="M462" si="658">K462*J462</f>
        <v>265.91399999999999</v>
      </c>
      <c r="N462" s="93">
        <v>0.495</v>
      </c>
      <c r="O462" s="93">
        <f t="shared" ref="O462" si="659">N462*G462</f>
        <v>215.07749999999999</v>
      </c>
      <c r="P462" s="93">
        <f t="shared" ref="P462" si="660">(I462*K462)+N462</f>
        <v>1.107</v>
      </c>
      <c r="Q462" s="112">
        <f t="shared" ref="Q462" si="661">P462*G462</f>
        <v>480.99149999999997</v>
      </c>
      <c r="R462" s="195"/>
      <c r="S462" s="195"/>
      <c r="T462" s="195"/>
      <c r="U462" s="195"/>
      <c r="V462" s="195"/>
      <c r="W462" s="195"/>
      <c r="X462" s="195"/>
      <c r="Y462" s="195"/>
      <c r="Z462" s="195"/>
      <c r="AA462" s="195"/>
      <c r="AB462" s="195"/>
      <c r="AC462" s="195"/>
      <c r="AD462" s="195"/>
      <c r="AE462" s="195"/>
      <c r="AF462" s="195"/>
      <c r="AG462" s="195"/>
      <c r="AH462" s="195"/>
      <c r="AI462" s="195"/>
      <c r="AJ462" s="195"/>
    </row>
    <row r="463" spans="1:36" s="31" customFormat="1">
      <c r="A463" s="55">
        <f>IF(F463&lt;&gt;"",1+MAX($A$2:A462),"")</f>
        <v>326</v>
      </c>
      <c r="B463" s="174"/>
      <c r="C463" s="60"/>
      <c r="D463" s="147" t="s">
        <v>187</v>
      </c>
      <c r="E463" s="148">
        <f>ROUNDUP(E462/32,0)</f>
        <v>13</v>
      </c>
      <c r="F463" s="124">
        <v>0</v>
      </c>
      <c r="G463" s="64">
        <f t="shared" si="655"/>
        <v>13</v>
      </c>
      <c r="H463" s="125" t="s">
        <v>124</v>
      </c>
      <c r="I463" s="90"/>
      <c r="J463" s="91"/>
      <c r="K463" s="92"/>
      <c r="L463" s="93"/>
      <c r="M463" s="93"/>
      <c r="N463" s="93"/>
      <c r="O463" s="93"/>
      <c r="P463" s="93"/>
      <c r="Q463" s="112"/>
      <c r="R463" s="195"/>
      <c r="S463" s="195"/>
      <c r="T463" s="195"/>
      <c r="U463" s="195"/>
      <c r="V463" s="195"/>
      <c r="W463" s="195"/>
      <c r="X463" s="195"/>
      <c r="Y463" s="195"/>
      <c r="Z463" s="195"/>
      <c r="AA463" s="195"/>
      <c r="AB463" s="195"/>
      <c r="AC463" s="195"/>
      <c r="AD463" s="195"/>
      <c r="AE463" s="195"/>
      <c r="AF463" s="195"/>
      <c r="AG463" s="195"/>
      <c r="AH463" s="195"/>
      <c r="AI463" s="195"/>
      <c r="AJ463" s="195"/>
    </row>
    <row r="464" spans="1:36" s="31" customFormat="1">
      <c r="A464" s="55">
        <f>IF(F464&lt;&gt;"",1+MAX($A$2:A463),"")</f>
        <v>327</v>
      </c>
      <c r="B464" s="174"/>
      <c r="C464" s="60"/>
      <c r="D464" s="147" t="s">
        <v>323</v>
      </c>
      <c r="E464" s="148">
        <f>ROUNDUP(E462*1.33,0)</f>
        <v>526</v>
      </c>
      <c r="F464" s="124">
        <v>0</v>
      </c>
      <c r="G464" s="64">
        <f t="shared" si="655"/>
        <v>526</v>
      </c>
      <c r="H464" s="125" t="s">
        <v>124</v>
      </c>
      <c r="I464" s="90">
        <v>2E-3</v>
      </c>
      <c r="J464" s="91">
        <f t="shared" ref="J464:J471" si="662">+I464*G464</f>
        <v>1.052</v>
      </c>
      <c r="K464" s="92">
        <f>'LABOR SHEET'!C$8</f>
        <v>36</v>
      </c>
      <c r="L464" s="93">
        <f t="shared" ref="L464:L471" si="663">I464*K464</f>
        <v>7.1999999999999995E-2</v>
      </c>
      <c r="M464" s="93">
        <f t="shared" ref="M464:M471" si="664">K464*J464</f>
        <v>37.872</v>
      </c>
      <c r="N464" s="151">
        <v>0.06</v>
      </c>
      <c r="O464" s="93">
        <f t="shared" ref="O464:O471" si="665">N464*G464</f>
        <v>31.56</v>
      </c>
      <c r="P464" s="93">
        <f t="shared" ref="P464:P471" si="666">(I464*K464)+N464</f>
        <v>0.13200000000000001</v>
      </c>
      <c r="Q464" s="112">
        <f t="shared" ref="Q464:Q471" si="667">P464*G464</f>
        <v>69.432000000000002</v>
      </c>
      <c r="R464" s="195"/>
      <c r="S464" s="195"/>
      <c r="T464" s="195"/>
      <c r="U464" s="195"/>
      <c r="V464" s="195"/>
      <c r="W464" s="195"/>
      <c r="X464" s="195"/>
      <c r="Y464" s="195"/>
      <c r="Z464" s="195"/>
      <c r="AA464" s="195"/>
      <c r="AB464" s="195"/>
      <c r="AC464" s="195"/>
      <c r="AD464" s="195"/>
      <c r="AE464" s="195"/>
      <c r="AF464" s="195"/>
      <c r="AG464" s="195"/>
      <c r="AH464" s="195"/>
      <c r="AI464" s="195"/>
      <c r="AJ464" s="195"/>
    </row>
    <row r="465" spans="1:36" s="31" customFormat="1">
      <c r="A465" s="55">
        <f>IF(F465&lt;&gt;"",1+MAX($A$2:A464),"")</f>
        <v>328</v>
      </c>
      <c r="B465" s="174"/>
      <c r="C465" s="60"/>
      <c r="D465" s="147" t="s">
        <v>324</v>
      </c>
      <c r="E465" s="148">
        <f>ROUNDUP(E463*16,0)</f>
        <v>208</v>
      </c>
      <c r="F465" s="124">
        <v>0.05</v>
      </c>
      <c r="G465" s="64">
        <f t="shared" si="655"/>
        <v>218.4</v>
      </c>
      <c r="H465" s="125" t="s">
        <v>119</v>
      </c>
      <c r="I465" s="90">
        <v>1.0999999999999999E-2</v>
      </c>
      <c r="J465" s="91">
        <f t="shared" si="662"/>
        <v>2.4024000000000001</v>
      </c>
      <c r="K465" s="92">
        <f>'LABOR SHEET'!C$8</f>
        <v>36</v>
      </c>
      <c r="L465" s="93">
        <f t="shared" si="663"/>
        <v>0.39600000000000002</v>
      </c>
      <c r="M465" s="93">
        <f t="shared" si="664"/>
        <v>86.486400000000003</v>
      </c>
      <c r="N465" s="151">
        <v>0.03</v>
      </c>
      <c r="O465" s="93">
        <f t="shared" si="665"/>
        <v>6.5519999999999996</v>
      </c>
      <c r="P465" s="93">
        <f t="shared" si="666"/>
        <v>0.42599999999999999</v>
      </c>
      <c r="Q465" s="112">
        <f t="shared" si="667"/>
        <v>93.038399999999996</v>
      </c>
      <c r="R465" s="195"/>
      <c r="S465" s="195"/>
      <c r="T465" s="195"/>
      <c r="U465" s="195"/>
      <c r="V465" s="195"/>
      <c r="W465" s="195"/>
      <c r="X465" s="195"/>
      <c r="Y465" s="195"/>
      <c r="Z465" s="195"/>
      <c r="AA465" s="195"/>
      <c r="AB465" s="195"/>
      <c r="AC465" s="195"/>
      <c r="AD465" s="195"/>
      <c r="AE465" s="195"/>
      <c r="AF465" s="195"/>
      <c r="AG465" s="195"/>
      <c r="AH465" s="195"/>
      <c r="AI465" s="195"/>
      <c r="AJ465" s="195"/>
    </row>
    <row r="466" spans="1:36" s="31" customFormat="1">
      <c r="A466" s="55">
        <f>IF(F466&lt;&gt;"",1+MAX($A$2:A465),"")</f>
        <v>329</v>
      </c>
      <c r="B466" s="174"/>
      <c r="C466" s="60"/>
      <c r="D466" s="147" t="s">
        <v>325</v>
      </c>
      <c r="E466" s="148">
        <f>E462*0.084</f>
        <v>33.18</v>
      </c>
      <c r="F466" s="59">
        <v>0.05</v>
      </c>
      <c r="G466" s="64">
        <f t="shared" si="655"/>
        <v>34.838999999999999</v>
      </c>
      <c r="H466" s="125" t="s">
        <v>326</v>
      </c>
      <c r="I466" s="90">
        <v>0.11</v>
      </c>
      <c r="J466" s="91">
        <f t="shared" si="662"/>
        <v>3.83229</v>
      </c>
      <c r="K466" s="92">
        <f>'LABOR SHEET'!C$8</f>
        <v>36</v>
      </c>
      <c r="L466" s="93">
        <f t="shared" si="663"/>
        <v>3.96</v>
      </c>
      <c r="M466" s="93">
        <f t="shared" si="664"/>
        <v>137.96243999999999</v>
      </c>
      <c r="N466" s="93">
        <v>0.5</v>
      </c>
      <c r="O466" s="93">
        <f t="shared" si="665"/>
        <v>17.419499999999999</v>
      </c>
      <c r="P466" s="93">
        <f t="shared" si="666"/>
        <v>4.46</v>
      </c>
      <c r="Q466" s="112">
        <f t="shared" si="667"/>
        <v>155.38193999999999</v>
      </c>
      <c r="R466" s="195"/>
      <c r="S466" s="195"/>
      <c r="T466" s="195"/>
      <c r="U466" s="195"/>
      <c r="V466" s="195"/>
      <c r="W466" s="195"/>
      <c r="X466" s="195"/>
      <c r="Y466" s="195"/>
      <c r="Z466" s="195"/>
      <c r="AA466" s="195"/>
      <c r="AB466" s="195"/>
      <c r="AC466" s="195"/>
      <c r="AD466" s="195"/>
      <c r="AE466" s="195"/>
      <c r="AF466" s="195"/>
      <c r="AG466" s="195"/>
      <c r="AH466" s="195"/>
      <c r="AI466" s="195"/>
      <c r="AJ466" s="195"/>
    </row>
    <row r="467" spans="1:36" s="31" customFormat="1">
      <c r="A467" s="55">
        <f>IF(F467&lt;&gt;"",1+MAX($A$2:A466),"")</f>
        <v>330</v>
      </c>
      <c r="B467" s="174"/>
      <c r="C467" s="60"/>
      <c r="D467" s="155" t="s">
        <v>338</v>
      </c>
      <c r="E467" s="156">
        <v>197</v>
      </c>
      <c r="F467" s="124">
        <v>0.1</v>
      </c>
      <c r="G467" s="64">
        <f t="shared" si="655"/>
        <v>216.7</v>
      </c>
      <c r="H467" s="150" t="s">
        <v>67</v>
      </c>
      <c r="I467" s="90">
        <v>1.2E-2</v>
      </c>
      <c r="J467" s="91">
        <f t="shared" si="662"/>
        <v>2.6004</v>
      </c>
      <c r="K467" s="92">
        <f>'LABOR SHEET'!C$8</f>
        <v>36</v>
      </c>
      <c r="L467" s="93">
        <f t="shared" si="663"/>
        <v>0.432</v>
      </c>
      <c r="M467" s="93">
        <f t="shared" si="664"/>
        <v>93.614400000000003</v>
      </c>
      <c r="N467" s="93">
        <v>1.22</v>
      </c>
      <c r="O467" s="93">
        <f t="shared" si="665"/>
        <v>264.37400000000002</v>
      </c>
      <c r="P467" s="93">
        <f t="shared" si="666"/>
        <v>1.6519999999999999</v>
      </c>
      <c r="Q467" s="112">
        <f t="shared" si="667"/>
        <v>357.98840000000001</v>
      </c>
      <c r="R467" s="195"/>
      <c r="S467" s="195"/>
      <c r="T467" s="195"/>
      <c r="U467" s="195"/>
      <c r="V467" s="195"/>
      <c r="W467" s="195"/>
      <c r="X467" s="195"/>
      <c r="Y467" s="195"/>
      <c r="Z467" s="195"/>
      <c r="AA467" s="195"/>
      <c r="AB467" s="195"/>
      <c r="AC467" s="195"/>
      <c r="AD467" s="195"/>
      <c r="AE467" s="195"/>
      <c r="AF467" s="195"/>
      <c r="AG467" s="195"/>
      <c r="AH467" s="195"/>
      <c r="AI467" s="195"/>
      <c r="AJ467" s="195"/>
    </row>
    <row r="468" spans="1:36" s="31" customFormat="1">
      <c r="A468" s="55">
        <f>IF(F468&lt;&gt;"",1+MAX($A$2:A467),"")</f>
        <v>331</v>
      </c>
      <c r="B468" s="174"/>
      <c r="C468" s="60"/>
      <c r="D468" s="192" t="s">
        <v>313</v>
      </c>
      <c r="E468" s="156">
        <v>161</v>
      </c>
      <c r="F468" s="124">
        <v>0.05</v>
      </c>
      <c r="G468" s="64">
        <f t="shared" si="655"/>
        <v>169.05</v>
      </c>
      <c r="H468" s="150" t="s">
        <v>119</v>
      </c>
      <c r="I468" s="90">
        <v>1.6E-2</v>
      </c>
      <c r="J468" s="91">
        <f t="shared" si="662"/>
        <v>2.7048000000000001</v>
      </c>
      <c r="K468" s="92">
        <f>'LABOR SHEET'!C$8</f>
        <v>36</v>
      </c>
      <c r="L468" s="93">
        <f t="shared" si="663"/>
        <v>0.57599999999999996</v>
      </c>
      <c r="M468" s="93">
        <f t="shared" si="664"/>
        <v>97.372799999999998</v>
      </c>
      <c r="N468" s="93">
        <v>1.1000000000000001</v>
      </c>
      <c r="O468" s="93">
        <f t="shared" si="665"/>
        <v>185.95500000000001</v>
      </c>
      <c r="P468" s="93">
        <f t="shared" si="666"/>
        <v>1.6759999999999999</v>
      </c>
      <c r="Q468" s="112">
        <f t="shared" si="667"/>
        <v>283.32780000000002</v>
      </c>
      <c r="R468" s="195"/>
      <c r="S468" s="195"/>
      <c r="T468" s="195"/>
      <c r="U468" s="195"/>
      <c r="V468" s="195"/>
      <c r="W468" s="195"/>
      <c r="X468" s="195"/>
      <c r="Y468" s="195"/>
      <c r="Z468" s="195"/>
      <c r="AA468" s="195"/>
      <c r="AB468" s="195"/>
      <c r="AC468" s="195"/>
      <c r="AD468" s="195"/>
      <c r="AE468" s="195"/>
      <c r="AF468" s="195"/>
      <c r="AG468" s="195"/>
      <c r="AH468" s="195"/>
      <c r="AI468" s="195"/>
      <c r="AJ468" s="195"/>
    </row>
    <row r="469" spans="1:36" s="31" customFormat="1">
      <c r="A469" s="55">
        <f>IF(F469&lt;&gt;"",1+MAX($A$2:A468),"")</f>
        <v>332</v>
      </c>
      <c r="B469" s="174"/>
      <c r="C469" s="60"/>
      <c r="D469" s="192" t="s">
        <v>341</v>
      </c>
      <c r="E469" s="156">
        <v>47</v>
      </c>
      <c r="F469" s="124">
        <v>0.05</v>
      </c>
      <c r="G469" s="64">
        <f t="shared" si="655"/>
        <v>49.35</v>
      </c>
      <c r="H469" s="150" t="s">
        <v>119</v>
      </c>
      <c r="I469" s="90">
        <v>1.6E-2</v>
      </c>
      <c r="J469" s="91">
        <f t="shared" si="662"/>
        <v>0.78959999999999997</v>
      </c>
      <c r="K469" s="92">
        <f>'LABOR SHEET'!C$8</f>
        <v>36</v>
      </c>
      <c r="L469" s="93">
        <f t="shared" si="663"/>
        <v>0.57599999999999996</v>
      </c>
      <c r="M469" s="93">
        <f t="shared" si="664"/>
        <v>28.425599999999999</v>
      </c>
      <c r="N469" s="93">
        <v>1.1000000000000001</v>
      </c>
      <c r="O469" s="93">
        <f t="shared" si="665"/>
        <v>54.284999999999997</v>
      </c>
      <c r="P469" s="93">
        <f t="shared" si="666"/>
        <v>1.6759999999999999</v>
      </c>
      <c r="Q469" s="112">
        <f t="shared" si="667"/>
        <v>82.710599999999999</v>
      </c>
      <c r="R469" s="195"/>
      <c r="S469" s="195"/>
      <c r="T469" s="195"/>
      <c r="U469" s="195"/>
      <c r="V469" s="195"/>
      <c r="W469" s="195"/>
      <c r="X469" s="195"/>
      <c r="Y469" s="195"/>
      <c r="Z469" s="195"/>
      <c r="AA469" s="195"/>
      <c r="AB469" s="195"/>
      <c r="AC469" s="195"/>
      <c r="AD469" s="195"/>
      <c r="AE469" s="195"/>
      <c r="AF469" s="195"/>
      <c r="AG469" s="195"/>
      <c r="AH469" s="195"/>
      <c r="AI469" s="195"/>
      <c r="AJ469" s="195"/>
    </row>
    <row r="470" spans="1:36" s="31" customFormat="1">
      <c r="A470" s="55">
        <f>IF(F470&lt;&gt;"",1+MAX($A$2:A469),"")</f>
        <v>333</v>
      </c>
      <c r="B470" s="174"/>
      <c r="C470" s="60"/>
      <c r="D470" s="192" t="s">
        <v>333</v>
      </c>
      <c r="E470" s="156">
        <v>16</v>
      </c>
      <c r="F470" s="124">
        <v>0.05</v>
      </c>
      <c r="G470" s="64">
        <f t="shared" si="655"/>
        <v>16.8</v>
      </c>
      <c r="H470" s="150" t="s">
        <v>119</v>
      </c>
      <c r="I470" s="90">
        <v>1.6E-2</v>
      </c>
      <c r="J470" s="91">
        <f t="shared" si="662"/>
        <v>0.26879999999999998</v>
      </c>
      <c r="K470" s="92">
        <f>'LABOR SHEET'!C$8</f>
        <v>36</v>
      </c>
      <c r="L470" s="93">
        <f t="shared" si="663"/>
        <v>0.57599999999999996</v>
      </c>
      <c r="M470" s="93">
        <f t="shared" si="664"/>
        <v>9.6768000000000001</v>
      </c>
      <c r="N470" s="93">
        <v>1.1000000000000001</v>
      </c>
      <c r="O470" s="93">
        <f t="shared" si="665"/>
        <v>18.48</v>
      </c>
      <c r="P470" s="93">
        <f t="shared" si="666"/>
        <v>1.6759999999999999</v>
      </c>
      <c r="Q470" s="112">
        <f t="shared" si="667"/>
        <v>28.1568</v>
      </c>
      <c r="R470" s="195"/>
      <c r="S470" s="195"/>
      <c r="T470" s="195"/>
      <c r="U470" s="195"/>
      <c r="V470" s="195"/>
      <c r="W470" s="195"/>
      <c r="X470" s="195"/>
      <c r="Y470" s="195"/>
      <c r="Z470" s="195"/>
      <c r="AA470" s="195"/>
      <c r="AB470" s="195"/>
      <c r="AC470" s="195"/>
      <c r="AD470" s="195"/>
      <c r="AE470" s="195"/>
      <c r="AF470" s="195"/>
      <c r="AG470" s="195"/>
      <c r="AH470" s="195"/>
      <c r="AI470" s="195"/>
      <c r="AJ470" s="195"/>
    </row>
    <row r="471" spans="1:36" s="31" customFormat="1">
      <c r="A471" s="55">
        <f>IF(F471&lt;&gt;"",1+MAX($A$2:A470),"")</f>
        <v>334</v>
      </c>
      <c r="B471" s="174"/>
      <c r="C471" s="60"/>
      <c r="D471" s="192" t="s">
        <v>334</v>
      </c>
      <c r="E471" s="156">
        <v>63</v>
      </c>
      <c r="F471" s="124">
        <v>0.05</v>
      </c>
      <c r="G471" s="64">
        <f t="shared" si="655"/>
        <v>66.150000000000006</v>
      </c>
      <c r="H471" s="150" t="s">
        <v>119</v>
      </c>
      <c r="I471" s="90">
        <v>0.01</v>
      </c>
      <c r="J471" s="91">
        <f t="shared" si="662"/>
        <v>0.66149999999999998</v>
      </c>
      <c r="K471" s="92">
        <f>'LABOR SHEET'!C$8</f>
        <v>36</v>
      </c>
      <c r="L471" s="93">
        <f t="shared" si="663"/>
        <v>0.36</v>
      </c>
      <c r="M471" s="93">
        <f t="shared" si="664"/>
        <v>23.814</v>
      </c>
      <c r="N471" s="93">
        <v>0.5</v>
      </c>
      <c r="O471" s="93">
        <f t="shared" si="665"/>
        <v>33.075000000000003</v>
      </c>
      <c r="P471" s="93">
        <f t="shared" si="666"/>
        <v>0.86</v>
      </c>
      <c r="Q471" s="112">
        <f t="shared" si="667"/>
        <v>56.889000000000003</v>
      </c>
      <c r="R471" s="195"/>
      <c r="S471" s="195"/>
      <c r="T471" s="195"/>
      <c r="U471" s="195"/>
      <c r="V471" s="195"/>
      <c r="W471" s="195"/>
      <c r="X471" s="195"/>
      <c r="Y471" s="195"/>
      <c r="Z471" s="195"/>
      <c r="AA471" s="195"/>
      <c r="AB471" s="195"/>
      <c r="AC471" s="195"/>
      <c r="AD471" s="195"/>
      <c r="AE471" s="195"/>
      <c r="AF471" s="195"/>
      <c r="AG471" s="195"/>
      <c r="AH471" s="195"/>
      <c r="AI471" s="195"/>
      <c r="AJ471" s="195"/>
    </row>
    <row r="472" spans="1:36" s="31" customFormat="1">
      <c r="A472" s="55" t="str">
        <f>IF(F472&lt;&gt;"",1+MAX($A$2:A471),"")</f>
        <v/>
      </c>
      <c r="B472" s="174"/>
      <c r="C472" s="60"/>
      <c r="D472" s="192"/>
      <c r="E472" s="148"/>
      <c r="F472" s="124"/>
      <c r="G472" s="145"/>
      <c r="H472" s="125"/>
      <c r="I472" s="90"/>
      <c r="J472" s="91"/>
      <c r="K472" s="92"/>
      <c r="L472" s="93"/>
      <c r="M472" s="93"/>
      <c r="N472" s="93"/>
      <c r="O472" s="93"/>
      <c r="P472" s="93"/>
      <c r="Q472" s="111"/>
      <c r="R472" s="195"/>
      <c r="S472" s="195"/>
      <c r="T472" s="195"/>
      <c r="U472" s="195"/>
      <c r="V472" s="195"/>
      <c r="W472" s="195"/>
      <c r="X472" s="195"/>
      <c r="Y472" s="195"/>
      <c r="Z472" s="195"/>
      <c r="AA472" s="195"/>
      <c r="AB472" s="195"/>
      <c r="AC472" s="195"/>
      <c r="AD472" s="195"/>
      <c r="AE472" s="195"/>
      <c r="AF472" s="195"/>
      <c r="AG472" s="195"/>
      <c r="AH472" s="195"/>
      <c r="AI472" s="195"/>
      <c r="AJ472" s="195"/>
    </row>
    <row r="473" spans="1:36" s="31" customFormat="1">
      <c r="A473" s="55" t="str">
        <f>IF(F473&lt;&gt;"",1+MAX($A$2:A472),"")</f>
        <v/>
      </c>
      <c r="B473" s="174"/>
      <c r="C473" s="60"/>
      <c r="D473" s="143" t="s">
        <v>345</v>
      </c>
      <c r="E473" s="173"/>
      <c r="F473" s="173"/>
      <c r="G473" s="173"/>
      <c r="H473" s="173"/>
      <c r="I473" s="90"/>
      <c r="J473" s="125"/>
      <c r="K473" s="125"/>
      <c r="L473" s="93"/>
      <c r="M473" s="93"/>
      <c r="N473" s="93"/>
      <c r="O473" s="93"/>
      <c r="P473" s="93"/>
      <c r="Q473" s="111"/>
      <c r="R473" s="195"/>
      <c r="S473" s="195"/>
      <c r="T473" s="195"/>
      <c r="U473" s="195"/>
      <c r="V473" s="195"/>
      <c r="W473" s="195"/>
      <c r="X473" s="195"/>
      <c r="Y473" s="195"/>
      <c r="Z473" s="195"/>
      <c r="AA473" s="195"/>
      <c r="AB473" s="195"/>
      <c r="AC473" s="195"/>
      <c r="AD473" s="195"/>
      <c r="AE473" s="195"/>
      <c r="AF473" s="195"/>
      <c r="AG473" s="195"/>
      <c r="AH473" s="195"/>
      <c r="AI473" s="195"/>
      <c r="AJ473" s="195"/>
    </row>
    <row r="474" spans="1:36" s="31" customFormat="1">
      <c r="A474" s="55">
        <f>IF(F474&lt;&gt;"",1+MAX($A$2:A473),"")</f>
        <v>335</v>
      </c>
      <c r="B474" s="174"/>
      <c r="C474" s="125"/>
      <c r="D474" s="155" t="s">
        <v>346</v>
      </c>
      <c r="E474" s="156">
        <v>8584.83</v>
      </c>
      <c r="F474" s="124">
        <v>0.1</v>
      </c>
      <c r="G474" s="64">
        <f t="shared" ref="G474:G479" si="668">(F474*E474)+E474</f>
        <v>9443.3130000000001</v>
      </c>
      <c r="H474" s="125" t="s">
        <v>67</v>
      </c>
      <c r="I474" s="90">
        <v>4.5999999999999999E-2</v>
      </c>
      <c r="J474" s="91">
        <f t="shared" ref="J474" si="669">+I474*G474</f>
        <v>434.39239800000001</v>
      </c>
      <c r="K474" s="92">
        <f>'LABOR SHEET'!C$12</f>
        <v>28</v>
      </c>
      <c r="L474" s="93">
        <f t="shared" ref="L474" si="670">I474*K474</f>
        <v>1.288</v>
      </c>
      <c r="M474" s="93">
        <f t="shared" ref="M474" si="671">K474*J474</f>
        <v>12162.987144000001</v>
      </c>
      <c r="N474" s="93">
        <v>5.5</v>
      </c>
      <c r="O474" s="93">
        <f t="shared" ref="O474" si="672">N474*G474</f>
        <v>51938.2215</v>
      </c>
      <c r="P474" s="93">
        <f t="shared" ref="P474" si="673">(I474*K474)+N474</f>
        <v>6.7880000000000003</v>
      </c>
      <c r="Q474" s="112">
        <f t="shared" ref="Q474" si="674">P474*G474</f>
        <v>64101.208643999998</v>
      </c>
    </row>
    <row r="475" spans="1:36" s="31" customFormat="1">
      <c r="A475" s="55">
        <f>IF(F475&lt;&gt;"",1+MAX($A$2:A474),"")</f>
        <v>336</v>
      </c>
      <c r="B475" s="174"/>
      <c r="C475" s="125"/>
      <c r="D475" s="155" t="s">
        <v>347</v>
      </c>
      <c r="E475" s="156">
        <v>7204.18</v>
      </c>
      <c r="F475" s="124">
        <v>0.1</v>
      </c>
      <c r="G475" s="64">
        <f t="shared" si="668"/>
        <v>7924.598</v>
      </c>
      <c r="H475" s="125" t="s">
        <v>67</v>
      </c>
      <c r="I475" s="90">
        <v>3.5000000000000003E-2</v>
      </c>
      <c r="J475" s="91">
        <f t="shared" ref="J475:J479" si="675">+I475*G475</f>
        <v>277.36093</v>
      </c>
      <c r="K475" s="92">
        <f>'LABOR SHEET'!C$12</f>
        <v>28</v>
      </c>
      <c r="L475" s="93">
        <f t="shared" ref="L475:L479" si="676">I475*K475</f>
        <v>0.98</v>
      </c>
      <c r="M475" s="93">
        <f t="shared" ref="M475:M479" si="677">K475*J475</f>
        <v>7766.1060399999997</v>
      </c>
      <c r="N475" s="93">
        <v>1.2</v>
      </c>
      <c r="O475" s="93">
        <f t="shared" ref="O475:O479" si="678">N475*G475</f>
        <v>9509.5175999999992</v>
      </c>
      <c r="P475" s="93">
        <f t="shared" ref="P475:P479" si="679">(I475*K475)+N475</f>
        <v>2.1800000000000002</v>
      </c>
      <c r="Q475" s="112">
        <f t="shared" ref="Q475:Q479" si="680">P475*G475</f>
        <v>17275.623640000002</v>
      </c>
    </row>
    <row r="476" spans="1:36" s="31" customFormat="1">
      <c r="A476" s="55">
        <f>IF(F476&lt;&gt;"",1+MAX($A$2:A475),"")</f>
        <v>337</v>
      </c>
      <c r="B476" s="174"/>
      <c r="C476" s="125"/>
      <c r="D476" s="155" t="s">
        <v>348</v>
      </c>
      <c r="E476" s="156">
        <v>3945.49</v>
      </c>
      <c r="F476" s="124">
        <v>0.1</v>
      </c>
      <c r="G476" s="64">
        <f t="shared" si="668"/>
        <v>4340.0389999999998</v>
      </c>
      <c r="H476" s="125" t="s">
        <v>67</v>
      </c>
      <c r="I476" s="90">
        <v>0.06</v>
      </c>
      <c r="J476" s="91">
        <f t="shared" si="675"/>
        <v>260.40233999999998</v>
      </c>
      <c r="K476" s="92">
        <f>'LABOR SHEET'!C$12</f>
        <v>28</v>
      </c>
      <c r="L476" s="93">
        <f t="shared" si="676"/>
        <v>1.68</v>
      </c>
      <c r="M476" s="93">
        <f t="shared" si="677"/>
        <v>7291.2655199999999</v>
      </c>
      <c r="N476" s="93">
        <f>7.25+0.6</f>
        <v>7.85</v>
      </c>
      <c r="O476" s="93">
        <f t="shared" si="678"/>
        <v>34069.306149999997</v>
      </c>
      <c r="P476" s="93">
        <f t="shared" si="679"/>
        <v>9.5299999999999994</v>
      </c>
      <c r="Q476" s="112">
        <f t="shared" si="680"/>
        <v>41360.571669999998</v>
      </c>
    </row>
    <row r="477" spans="1:36" s="31" customFormat="1">
      <c r="A477" s="55">
        <f>IF(F477&lt;&gt;"",1+MAX($A$2:A476),"")</f>
        <v>338</v>
      </c>
      <c r="B477" s="174"/>
      <c r="C477" s="125"/>
      <c r="D477" s="155" t="s">
        <v>349</v>
      </c>
      <c r="E477" s="156">
        <v>1530.74</v>
      </c>
      <c r="F477" s="124">
        <v>0.1</v>
      </c>
      <c r="G477" s="64">
        <f t="shared" si="668"/>
        <v>1683.8140000000001</v>
      </c>
      <c r="H477" s="125" t="s">
        <v>67</v>
      </c>
      <c r="I477" s="90">
        <v>0.06</v>
      </c>
      <c r="J477" s="91">
        <f t="shared" si="675"/>
        <v>101.02884</v>
      </c>
      <c r="K477" s="92">
        <f>'LABOR SHEET'!C$12</f>
        <v>28</v>
      </c>
      <c r="L477" s="93">
        <f t="shared" si="676"/>
        <v>1.68</v>
      </c>
      <c r="M477" s="93">
        <f t="shared" si="677"/>
        <v>2828.8075199999998</v>
      </c>
      <c r="N477" s="93">
        <v>9.1999999999999993</v>
      </c>
      <c r="O477" s="93">
        <f t="shared" si="678"/>
        <v>15491.0888</v>
      </c>
      <c r="P477" s="93">
        <f t="shared" si="679"/>
        <v>10.88</v>
      </c>
      <c r="Q477" s="112">
        <f t="shared" si="680"/>
        <v>18319.89632</v>
      </c>
    </row>
    <row r="478" spans="1:36" s="31" customFormat="1">
      <c r="A478" s="55">
        <f>IF(F478&lt;&gt;"",1+MAX($A$2:A477),"")</f>
        <v>339</v>
      </c>
      <c r="B478" s="174"/>
      <c r="C478" s="125"/>
      <c r="D478" s="155" t="s">
        <v>350</v>
      </c>
      <c r="E478" s="156">
        <v>950.36</v>
      </c>
      <c r="F478" s="124">
        <v>0.1</v>
      </c>
      <c r="G478" s="64">
        <f t="shared" si="668"/>
        <v>1045.396</v>
      </c>
      <c r="H478" s="125" t="s">
        <v>67</v>
      </c>
      <c r="I478" s="90">
        <v>4.2000000000000003E-2</v>
      </c>
      <c r="J478" s="91">
        <f t="shared" si="675"/>
        <v>43.906632000000002</v>
      </c>
      <c r="K478" s="92">
        <f>'LABOR SHEET'!C$12</f>
        <v>28</v>
      </c>
      <c r="L478" s="93">
        <f t="shared" si="676"/>
        <v>1.1759999999999999</v>
      </c>
      <c r="M478" s="93">
        <f t="shared" si="677"/>
        <v>1229.3856960000001</v>
      </c>
      <c r="N478" s="93">
        <v>5.9</v>
      </c>
      <c r="O478" s="93">
        <f t="shared" si="678"/>
        <v>6167.8364000000001</v>
      </c>
      <c r="P478" s="93">
        <f t="shared" si="679"/>
        <v>7.0759999999999996</v>
      </c>
      <c r="Q478" s="112">
        <f t="shared" si="680"/>
        <v>7397.2220960000004</v>
      </c>
    </row>
    <row r="479" spans="1:36" s="31" customFormat="1">
      <c r="A479" s="55">
        <f>IF(F479&lt;&gt;"",1+MAX($A$2:A478),"")</f>
        <v>340</v>
      </c>
      <c r="B479" s="174"/>
      <c r="C479" s="125"/>
      <c r="D479" s="155" t="s">
        <v>351</v>
      </c>
      <c r="E479" s="156">
        <v>127.56</v>
      </c>
      <c r="F479" s="124">
        <v>0.1</v>
      </c>
      <c r="G479" s="64">
        <f t="shared" si="668"/>
        <v>140.316</v>
      </c>
      <c r="H479" s="125" t="s">
        <v>67</v>
      </c>
      <c r="I479" s="90">
        <v>0.1</v>
      </c>
      <c r="J479" s="91">
        <f t="shared" si="675"/>
        <v>14.031599999999999</v>
      </c>
      <c r="K479" s="92">
        <f>'LABOR SHEET'!C$12</f>
        <v>28</v>
      </c>
      <c r="L479" s="93">
        <f t="shared" si="676"/>
        <v>2.8</v>
      </c>
      <c r="M479" s="93">
        <f t="shared" si="677"/>
        <v>392.88479999999998</v>
      </c>
      <c r="N479" s="93">
        <v>12.6</v>
      </c>
      <c r="O479" s="93">
        <f t="shared" si="678"/>
        <v>1767.9816000000001</v>
      </c>
      <c r="P479" s="93">
        <f t="shared" si="679"/>
        <v>15.4</v>
      </c>
      <c r="Q479" s="112">
        <f t="shared" si="680"/>
        <v>2160.8663999999999</v>
      </c>
    </row>
    <row r="480" spans="1:36" s="31" customFormat="1">
      <c r="A480" s="55" t="str">
        <f>IF(F480&lt;&gt;"",1+MAX($A$2:A479),"")</f>
        <v/>
      </c>
      <c r="B480" s="174"/>
      <c r="C480" s="125"/>
      <c r="D480" s="144"/>
      <c r="E480" s="148"/>
      <c r="F480" s="124"/>
      <c r="G480" s="145"/>
      <c r="H480" s="125"/>
      <c r="I480" s="90"/>
      <c r="J480" s="91"/>
      <c r="K480" s="92"/>
      <c r="L480" s="93"/>
      <c r="M480" s="93"/>
      <c r="N480" s="93"/>
      <c r="O480" s="93"/>
      <c r="P480" s="93"/>
      <c r="Q480" s="111"/>
    </row>
    <row r="481" spans="1:36" s="31" customFormat="1">
      <c r="A481" s="55" t="str">
        <f>IF(F481&lt;&gt;"",1+MAX($A$2:A480),"")</f>
        <v/>
      </c>
      <c r="B481" s="174"/>
      <c r="C481" s="60"/>
      <c r="D481" s="143" t="s">
        <v>352</v>
      </c>
      <c r="E481" s="173"/>
      <c r="F481" s="173"/>
      <c r="G481" s="173"/>
      <c r="H481" s="173"/>
      <c r="I481" s="90"/>
      <c r="J481" s="125"/>
      <c r="K481" s="125"/>
      <c r="L481" s="93"/>
      <c r="M481" s="93"/>
      <c r="N481" s="93"/>
      <c r="O481" s="93"/>
      <c r="P481" s="93"/>
      <c r="Q481" s="111"/>
      <c r="R481" s="195"/>
      <c r="S481" s="195"/>
      <c r="T481" s="195"/>
      <c r="U481" s="195"/>
      <c r="V481" s="195"/>
      <c r="W481" s="195"/>
      <c r="X481" s="195"/>
      <c r="Y481" s="195"/>
      <c r="Z481" s="195"/>
      <c r="AA481" s="195"/>
      <c r="AB481" s="195"/>
      <c r="AC481" s="195"/>
      <c r="AD481" s="195"/>
      <c r="AE481" s="195"/>
      <c r="AF481" s="195"/>
      <c r="AG481" s="195"/>
      <c r="AH481" s="195"/>
      <c r="AI481" s="195"/>
      <c r="AJ481" s="195"/>
    </row>
    <row r="482" spans="1:36" s="31" customFormat="1">
      <c r="A482" s="55">
        <f>IF(F482&lt;&gt;"",1+MAX($A$2:A481),"")</f>
        <v>341</v>
      </c>
      <c r="B482" s="174"/>
      <c r="C482" s="125"/>
      <c r="D482" s="155" t="s">
        <v>353</v>
      </c>
      <c r="E482" s="156">
        <v>2563.7399999999998</v>
      </c>
      <c r="F482" s="124">
        <v>0.05</v>
      </c>
      <c r="G482" s="64">
        <f t="shared" ref="G482:G487" si="681">(F482*E482)+E482</f>
        <v>2691.9270000000001</v>
      </c>
      <c r="H482" s="125" t="s">
        <v>119</v>
      </c>
      <c r="I482" s="90">
        <v>4.5999999999999999E-2</v>
      </c>
      <c r="J482" s="91">
        <f t="shared" ref="J482:J487" si="682">+I482*G482</f>
        <v>123.828642</v>
      </c>
      <c r="K482" s="92">
        <f>'LABOR SHEET'!C$12</f>
        <v>28</v>
      </c>
      <c r="L482" s="93">
        <f t="shared" ref="L482:L487" si="683">I482*K482</f>
        <v>1.288</v>
      </c>
      <c r="M482" s="93">
        <f t="shared" ref="M482:M487" si="684">K482*J482</f>
        <v>3467.2019759999998</v>
      </c>
      <c r="N482" s="93">
        <v>5.25</v>
      </c>
      <c r="O482" s="93">
        <f t="shared" ref="O482:O487" si="685">N482*G482</f>
        <v>14132.616749999999</v>
      </c>
      <c r="P482" s="93">
        <f t="shared" ref="P482:P487" si="686">(I482*K482)+N482</f>
        <v>6.5380000000000003</v>
      </c>
      <c r="Q482" s="112">
        <f t="shared" ref="Q482:Q487" si="687">P482*G482</f>
        <v>17599.818726000001</v>
      </c>
    </row>
    <row r="483" spans="1:36" s="31" customFormat="1">
      <c r="A483" s="55">
        <f>IF(F483&lt;&gt;"",1+MAX($A$2:A482),"")</f>
        <v>342</v>
      </c>
      <c r="B483" s="174"/>
      <c r="C483" s="125"/>
      <c r="D483" s="155" t="s">
        <v>354</v>
      </c>
      <c r="E483" s="156">
        <v>810.73</v>
      </c>
      <c r="F483" s="124">
        <v>0.05</v>
      </c>
      <c r="G483" s="64">
        <f t="shared" si="681"/>
        <v>851.26649999999995</v>
      </c>
      <c r="H483" s="125" t="s">
        <v>119</v>
      </c>
      <c r="I483" s="90">
        <v>4.2000000000000003E-2</v>
      </c>
      <c r="J483" s="91">
        <f t="shared" si="682"/>
        <v>35.753193000000003</v>
      </c>
      <c r="K483" s="92">
        <f>'LABOR SHEET'!C$12</f>
        <v>28</v>
      </c>
      <c r="L483" s="93">
        <f t="shared" si="683"/>
        <v>1.1759999999999999</v>
      </c>
      <c r="M483" s="93">
        <f t="shared" si="684"/>
        <v>1001.0894039999999</v>
      </c>
      <c r="N483" s="93">
        <v>3.82</v>
      </c>
      <c r="O483" s="93">
        <f t="shared" si="685"/>
        <v>3251.8380299999999</v>
      </c>
      <c r="P483" s="93">
        <f t="shared" si="686"/>
        <v>4.9960000000000004</v>
      </c>
      <c r="Q483" s="112">
        <f t="shared" si="687"/>
        <v>4252.9274340000002</v>
      </c>
    </row>
    <row r="484" spans="1:36" s="31" customFormat="1">
      <c r="A484" s="55">
        <f>IF(F484&lt;&gt;"",1+MAX($A$2:A483),"")</f>
        <v>343</v>
      </c>
      <c r="B484" s="174"/>
      <c r="C484" s="125"/>
      <c r="D484" s="155" t="s">
        <v>355</v>
      </c>
      <c r="E484" s="156">
        <v>1324.73</v>
      </c>
      <c r="F484" s="124">
        <v>0.05</v>
      </c>
      <c r="G484" s="64">
        <f t="shared" si="681"/>
        <v>1390.9665</v>
      </c>
      <c r="H484" s="125" t="s">
        <v>119</v>
      </c>
      <c r="I484" s="90">
        <v>3.5999999999999997E-2</v>
      </c>
      <c r="J484" s="91">
        <f t="shared" si="682"/>
        <v>50.074793999999997</v>
      </c>
      <c r="K484" s="92">
        <f>'LABOR SHEET'!C$12</f>
        <v>28</v>
      </c>
      <c r="L484" s="93">
        <f t="shared" si="683"/>
        <v>1.008</v>
      </c>
      <c r="M484" s="93">
        <f t="shared" si="684"/>
        <v>1402.0942319999999</v>
      </c>
      <c r="N484" s="93">
        <v>2.7</v>
      </c>
      <c r="O484" s="93">
        <f t="shared" si="685"/>
        <v>3755.6095500000001</v>
      </c>
      <c r="P484" s="93">
        <f t="shared" si="686"/>
        <v>3.7080000000000002</v>
      </c>
      <c r="Q484" s="112">
        <f t="shared" si="687"/>
        <v>5157.7037819999996</v>
      </c>
    </row>
    <row r="485" spans="1:36" s="31" customFormat="1">
      <c r="A485" s="55">
        <f>IF(F485&lt;&gt;"",1+MAX($A$2:A484),"")</f>
        <v>344</v>
      </c>
      <c r="B485" s="174"/>
      <c r="C485" s="125"/>
      <c r="D485" s="155" t="s">
        <v>356</v>
      </c>
      <c r="E485" s="156">
        <v>2143.1799999999998</v>
      </c>
      <c r="F485" s="124">
        <v>0.05</v>
      </c>
      <c r="G485" s="64">
        <f t="shared" si="681"/>
        <v>2250.3389999999999</v>
      </c>
      <c r="H485" s="125" t="s">
        <v>119</v>
      </c>
      <c r="I485" s="90">
        <v>0.04</v>
      </c>
      <c r="J485" s="91">
        <f t="shared" si="682"/>
        <v>90.013559999999998</v>
      </c>
      <c r="K485" s="92">
        <f>'LABOR SHEET'!C$12</f>
        <v>28</v>
      </c>
      <c r="L485" s="93">
        <f t="shared" si="683"/>
        <v>1.1200000000000001</v>
      </c>
      <c r="M485" s="93">
        <f t="shared" si="684"/>
        <v>2520.37968</v>
      </c>
      <c r="N485" s="93">
        <v>3.3</v>
      </c>
      <c r="O485" s="93">
        <f t="shared" si="685"/>
        <v>7426.1187</v>
      </c>
      <c r="P485" s="93">
        <f t="shared" si="686"/>
        <v>4.42</v>
      </c>
      <c r="Q485" s="112">
        <f t="shared" si="687"/>
        <v>9946.4983800000009</v>
      </c>
    </row>
    <row r="486" spans="1:36" s="31" customFormat="1">
      <c r="A486" s="55">
        <f>IF(F486&lt;&gt;"",1+MAX($A$2:A485),"")</f>
        <v>345</v>
      </c>
      <c r="B486" s="174"/>
      <c r="C486" s="125"/>
      <c r="D486" s="155" t="s">
        <v>357</v>
      </c>
      <c r="E486" s="156">
        <v>2802</v>
      </c>
      <c r="F486" s="124">
        <v>0.05</v>
      </c>
      <c r="G486" s="64">
        <f t="shared" si="681"/>
        <v>2942.1</v>
      </c>
      <c r="H486" s="125" t="s">
        <v>119</v>
      </c>
      <c r="I486" s="90">
        <v>2.5999999999999999E-2</v>
      </c>
      <c r="J486" s="91">
        <f t="shared" si="682"/>
        <v>76.494600000000005</v>
      </c>
      <c r="K486" s="92">
        <f>'LABOR SHEET'!C$3</f>
        <v>36</v>
      </c>
      <c r="L486" s="93">
        <f t="shared" si="683"/>
        <v>0.93600000000000005</v>
      </c>
      <c r="M486" s="93">
        <f t="shared" si="684"/>
        <v>2753.8056000000001</v>
      </c>
      <c r="N486" s="93">
        <v>2.2000000000000002</v>
      </c>
      <c r="O486" s="93">
        <f t="shared" si="685"/>
        <v>6472.62</v>
      </c>
      <c r="P486" s="93">
        <f t="shared" si="686"/>
        <v>3.1360000000000001</v>
      </c>
      <c r="Q486" s="112">
        <f t="shared" si="687"/>
        <v>9226.4256000000005</v>
      </c>
    </row>
    <row r="487" spans="1:36" s="31" customFormat="1">
      <c r="A487" s="55">
        <f>IF(F487&lt;&gt;"",1+MAX($A$2:A486),"")</f>
        <v>346</v>
      </c>
      <c r="B487" s="174"/>
      <c r="C487" s="125"/>
      <c r="D487" s="155" t="s">
        <v>358</v>
      </c>
      <c r="E487" s="156">
        <v>2667</v>
      </c>
      <c r="F487" s="124">
        <v>0.05</v>
      </c>
      <c r="G487" s="64">
        <f t="shared" si="681"/>
        <v>2800.35</v>
      </c>
      <c r="H487" s="125" t="s">
        <v>119</v>
      </c>
      <c r="I487" s="90">
        <v>2.5999999999999999E-2</v>
      </c>
      <c r="J487" s="91">
        <f t="shared" si="682"/>
        <v>72.809100000000001</v>
      </c>
      <c r="K487" s="92">
        <f>'LABOR SHEET'!C$3</f>
        <v>36</v>
      </c>
      <c r="L487" s="93">
        <f t="shared" si="683"/>
        <v>0.93600000000000005</v>
      </c>
      <c r="M487" s="93">
        <f t="shared" si="684"/>
        <v>2621.1275999999998</v>
      </c>
      <c r="N487" s="93">
        <v>2.2000000000000002</v>
      </c>
      <c r="O487" s="93">
        <f t="shared" si="685"/>
        <v>6160.77</v>
      </c>
      <c r="P487" s="93">
        <f t="shared" si="686"/>
        <v>3.1360000000000001</v>
      </c>
      <c r="Q487" s="112">
        <f t="shared" si="687"/>
        <v>8781.8976000000002</v>
      </c>
    </row>
    <row r="488" spans="1:36" s="31" customFormat="1">
      <c r="A488" s="55" t="str">
        <f>IF(F488&lt;&gt;"",1+MAX($A$2:A487),"")</f>
        <v/>
      </c>
      <c r="B488" s="174"/>
      <c r="C488" s="125"/>
      <c r="D488" s="144"/>
      <c r="E488" s="148"/>
      <c r="F488" s="124"/>
      <c r="G488" s="145"/>
      <c r="H488" s="125"/>
      <c r="I488" s="90"/>
      <c r="J488" s="91"/>
      <c r="K488" s="92"/>
      <c r="L488" s="93"/>
      <c r="M488" s="93"/>
      <c r="N488" s="93"/>
      <c r="O488" s="93"/>
      <c r="P488" s="93"/>
      <c r="Q488" s="111"/>
    </row>
    <row r="489" spans="1:36" s="31" customFormat="1">
      <c r="A489" s="55" t="str">
        <f>IF(F489&lt;&gt;"",1+MAX($A$2:A488),"")</f>
        <v/>
      </c>
      <c r="B489" s="174"/>
      <c r="C489" s="60"/>
      <c r="D489" s="143" t="s">
        <v>359</v>
      </c>
      <c r="E489" s="173"/>
      <c r="F489" s="173"/>
      <c r="G489" s="173"/>
      <c r="H489" s="173"/>
      <c r="I489" s="90"/>
      <c r="J489" s="125"/>
      <c r="K489" s="125"/>
      <c r="L489" s="93"/>
      <c r="M489" s="93"/>
      <c r="N489" s="93"/>
      <c r="O489" s="93"/>
      <c r="P489" s="93"/>
      <c r="Q489" s="111"/>
      <c r="R489" s="195"/>
      <c r="S489" s="195"/>
      <c r="T489" s="195"/>
      <c r="U489" s="195"/>
      <c r="V489" s="195"/>
      <c r="W489" s="195"/>
      <c r="X489" s="195"/>
      <c r="Y489" s="195"/>
      <c r="Z489" s="195"/>
      <c r="AA489" s="195"/>
      <c r="AB489" s="195"/>
      <c r="AC489" s="195"/>
      <c r="AD489" s="195"/>
      <c r="AE489" s="195"/>
      <c r="AF489" s="195"/>
      <c r="AG489" s="195"/>
      <c r="AH489" s="195"/>
      <c r="AI489" s="195"/>
      <c r="AJ489" s="195"/>
    </row>
    <row r="490" spans="1:36" s="31" customFormat="1">
      <c r="A490" s="55">
        <f>IF(F490&lt;&gt;"",1+MAX($A$2:A489),"")</f>
        <v>347</v>
      </c>
      <c r="B490" s="174"/>
      <c r="C490" s="125"/>
      <c r="D490" s="57" t="s">
        <v>360</v>
      </c>
      <c r="E490" s="60">
        <v>9834</v>
      </c>
      <c r="F490" s="124">
        <v>0.1</v>
      </c>
      <c r="G490" s="64">
        <f t="shared" ref="G490:G513" si="688">(F490*E490)+E490</f>
        <v>10817.4</v>
      </c>
      <c r="H490" s="125" t="s">
        <v>67</v>
      </c>
      <c r="I490" s="90">
        <v>2.5999999999999999E-2</v>
      </c>
      <c r="J490" s="91">
        <f t="shared" ref="J490:J513" si="689">+I490*G490</f>
        <v>281.25240000000002</v>
      </c>
      <c r="K490" s="92">
        <f>'LABOR SHEET'!C$8</f>
        <v>36</v>
      </c>
      <c r="L490" s="93">
        <f t="shared" ref="L490:L513" si="690">I490*K490</f>
        <v>0.93600000000000005</v>
      </c>
      <c r="M490" s="93">
        <f t="shared" ref="M490:M513" si="691">K490*J490</f>
        <v>10125.0864</v>
      </c>
      <c r="N490" s="93">
        <v>0.41</v>
      </c>
      <c r="O490" s="93">
        <f t="shared" ref="O490:O513" si="692">N490*G490</f>
        <v>4435.134</v>
      </c>
      <c r="P490" s="93">
        <f t="shared" ref="P490:P513" si="693">(I490*K490)+N490</f>
        <v>1.3460000000000001</v>
      </c>
      <c r="Q490" s="112">
        <f t="shared" ref="Q490:Q513" si="694">P490*G490</f>
        <v>14560.2204</v>
      </c>
    </row>
    <row r="491" spans="1:36" s="31" customFormat="1">
      <c r="A491" s="55">
        <f>IF(F491&lt;&gt;"",1+MAX($A$2:A490),"")</f>
        <v>348</v>
      </c>
      <c r="B491" s="174"/>
      <c r="C491" s="60"/>
      <c r="D491" s="147" t="s">
        <v>187</v>
      </c>
      <c r="E491" s="148">
        <f>ROUNDUP(E490/32,0)</f>
        <v>308</v>
      </c>
      <c r="F491" s="124">
        <v>0</v>
      </c>
      <c r="G491" s="64">
        <f t="shared" si="688"/>
        <v>308</v>
      </c>
      <c r="H491" s="125" t="s">
        <v>124</v>
      </c>
      <c r="I491" s="90"/>
      <c r="J491" s="91"/>
      <c r="K491" s="92"/>
      <c r="L491" s="93"/>
      <c r="M491" s="93"/>
      <c r="N491" s="93"/>
      <c r="O491" s="93"/>
      <c r="P491" s="93"/>
      <c r="Q491" s="112"/>
      <c r="R491" s="195"/>
      <c r="S491" s="195"/>
      <c r="T491" s="195"/>
      <c r="U491" s="195"/>
      <c r="V491" s="195"/>
      <c r="W491" s="195"/>
      <c r="X491" s="195"/>
      <c r="Y491" s="195"/>
      <c r="Z491" s="195"/>
      <c r="AA491" s="195"/>
      <c r="AB491" s="195"/>
      <c r="AC491" s="195"/>
      <c r="AD491" s="195"/>
      <c r="AE491" s="195"/>
      <c r="AF491" s="195"/>
      <c r="AG491" s="195"/>
      <c r="AH491" s="195"/>
      <c r="AI491" s="195"/>
      <c r="AJ491" s="195"/>
    </row>
    <row r="492" spans="1:36" s="31" customFormat="1">
      <c r="A492" s="55">
        <f>IF(F492&lt;&gt;"",1+MAX($A$2:A491),"")</f>
        <v>349</v>
      </c>
      <c r="B492" s="174"/>
      <c r="C492" s="60"/>
      <c r="D492" s="147" t="s">
        <v>323</v>
      </c>
      <c r="E492" s="148">
        <f>ROUNDUP(E490*1.33,0)</f>
        <v>13080</v>
      </c>
      <c r="F492" s="124">
        <v>0</v>
      </c>
      <c r="G492" s="64">
        <f t="shared" si="688"/>
        <v>13080</v>
      </c>
      <c r="H492" s="125" t="s">
        <v>124</v>
      </c>
      <c r="I492" s="90">
        <v>2E-3</v>
      </c>
      <c r="J492" s="91">
        <f t="shared" ref="J492:J494" si="695">+I492*G492</f>
        <v>26.16</v>
      </c>
      <c r="K492" s="92">
        <f>'LABOR SHEET'!C$8</f>
        <v>36</v>
      </c>
      <c r="L492" s="93">
        <f t="shared" ref="L492:L494" si="696">I492*K492</f>
        <v>7.1999999999999995E-2</v>
      </c>
      <c r="M492" s="93">
        <f t="shared" ref="M492:M494" si="697">K492*J492</f>
        <v>941.76</v>
      </c>
      <c r="N492" s="151">
        <v>0.06</v>
      </c>
      <c r="O492" s="93">
        <f t="shared" ref="O492:O494" si="698">N492*G492</f>
        <v>784.8</v>
      </c>
      <c r="P492" s="93">
        <f t="shared" ref="P492:P494" si="699">(I492*K492)+N492</f>
        <v>0.13200000000000001</v>
      </c>
      <c r="Q492" s="112">
        <f t="shared" ref="Q492:Q494" si="700">P492*G492</f>
        <v>1726.56</v>
      </c>
      <c r="R492" s="195"/>
      <c r="S492" s="195"/>
      <c r="T492" s="195"/>
      <c r="U492" s="195"/>
      <c r="V492" s="195"/>
      <c r="W492" s="195"/>
      <c r="X492" s="195"/>
      <c r="Y492" s="195"/>
      <c r="Z492" s="195"/>
      <c r="AA492" s="195"/>
      <c r="AB492" s="195"/>
      <c r="AC492" s="195"/>
      <c r="AD492" s="195"/>
      <c r="AE492" s="195"/>
      <c r="AF492" s="195"/>
      <c r="AG492" s="195"/>
      <c r="AH492" s="195"/>
      <c r="AI492" s="195"/>
      <c r="AJ492" s="195"/>
    </row>
    <row r="493" spans="1:36" s="31" customFormat="1">
      <c r="A493" s="55">
        <f>IF(F493&lt;&gt;"",1+MAX($A$2:A492),"")</f>
        <v>350</v>
      </c>
      <c r="B493" s="174"/>
      <c r="C493" s="60"/>
      <c r="D493" s="147" t="s">
        <v>324</v>
      </c>
      <c r="E493" s="148">
        <f>ROUNDUP(E491*16,0)</f>
        <v>4928</v>
      </c>
      <c r="F493" s="124">
        <v>0.05</v>
      </c>
      <c r="G493" s="64">
        <f t="shared" si="688"/>
        <v>5174.3999999999996</v>
      </c>
      <c r="H493" s="125" t="s">
        <v>119</v>
      </c>
      <c r="I493" s="90">
        <v>1.0999999999999999E-2</v>
      </c>
      <c r="J493" s="91">
        <f t="shared" si="695"/>
        <v>56.918399999999998</v>
      </c>
      <c r="K493" s="92">
        <f>'LABOR SHEET'!C$8</f>
        <v>36</v>
      </c>
      <c r="L493" s="93">
        <f t="shared" si="696"/>
        <v>0.39600000000000002</v>
      </c>
      <c r="M493" s="93">
        <f t="shared" si="697"/>
        <v>2049.0623999999998</v>
      </c>
      <c r="N493" s="151">
        <v>0.03</v>
      </c>
      <c r="O493" s="93">
        <f t="shared" si="698"/>
        <v>155.232</v>
      </c>
      <c r="P493" s="93">
        <f t="shared" si="699"/>
        <v>0.42599999999999999</v>
      </c>
      <c r="Q493" s="112">
        <f t="shared" si="700"/>
        <v>2204.2944000000002</v>
      </c>
      <c r="R493" s="195"/>
      <c r="S493" s="195"/>
      <c r="T493" s="195"/>
      <c r="U493" s="195"/>
      <c r="V493" s="195"/>
      <c r="W493" s="195"/>
      <c r="X493" s="195"/>
      <c r="Y493" s="195"/>
      <c r="Z493" s="195"/>
      <c r="AA493" s="195"/>
      <c r="AB493" s="195"/>
      <c r="AC493" s="195"/>
      <c r="AD493" s="195"/>
      <c r="AE493" s="195"/>
      <c r="AF493" s="195"/>
      <c r="AG493" s="195"/>
      <c r="AH493" s="195"/>
      <c r="AI493" s="195"/>
      <c r="AJ493" s="195"/>
    </row>
    <row r="494" spans="1:36" s="31" customFormat="1">
      <c r="A494" s="55">
        <f>IF(F494&lt;&gt;"",1+MAX($A$2:A493),"")</f>
        <v>351</v>
      </c>
      <c r="B494" s="174"/>
      <c r="C494" s="60"/>
      <c r="D494" s="147" t="s">
        <v>325</v>
      </c>
      <c r="E494" s="148">
        <f>E490*0.084</f>
        <v>826.05600000000004</v>
      </c>
      <c r="F494" s="59">
        <v>0.05</v>
      </c>
      <c r="G494" s="64">
        <f t="shared" si="688"/>
        <v>867.35879999999997</v>
      </c>
      <c r="H494" s="125" t="s">
        <v>326</v>
      </c>
      <c r="I494" s="90">
        <v>0.11</v>
      </c>
      <c r="J494" s="91">
        <f t="shared" si="695"/>
        <v>95.409468000000004</v>
      </c>
      <c r="K494" s="92">
        <f>'LABOR SHEET'!C$8</f>
        <v>36</v>
      </c>
      <c r="L494" s="93">
        <f t="shared" si="696"/>
        <v>3.96</v>
      </c>
      <c r="M494" s="93">
        <f t="shared" si="697"/>
        <v>3434.7408479999999</v>
      </c>
      <c r="N494" s="93">
        <v>0.5</v>
      </c>
      <c r="O494" s="93">
        <f t="shared" si="698"/>
        <v>433.67939999999999</v>
      </c>
      <c r="P494" s="93">
        <f t="shared" si="699"/>
        <v>4.46</v>
      </c>
      <c r="Q494" s="112">
        <f t="shared" si="700"/>
        <v>3868.4202479999999</v>
      </c>
      <c r="R494" s="195"/>
      <c r="S494" s="195"/>
      <c r="T494" s="195"/>
      <c r="U494" s="195"/>
      <c r="V494" s="195"/>
      <c r="W494" s="195"/>
      <c r="X494" s="195"/>
      <c r="Y494" s="195"/>
      <c r="Z494" s="195"/>
      <c r="AA494" s="195"/>
      <c r="AB494" s="195"/>
      <c r="AC494" s="195"/>
      <c r="AD494" s="195"/>
      <c r="AE494" s="195"/>
      <c r="AF494" s="195"/>
      <c r="AG494" s="195"/>
      <c r="AH494" s="195"/>
      <c r="AI494" s="195"/>
      <c r="AJ494" s="195"/>
    </row>
    <row r="495" spans="1:36" s="31" customFormat="1">
      <c r="A495" s="55">
        <f>IF(F495&lt;&gt;"",1+MAX($A$2:A494),"")</f>
        <v>352</v>
      </c>
      <c r="B495" s="174"/>
      <c r="C495" s="125"/>
      <c r="D495" s="57" t="s">
        <v>361</v>
      </c>
      <c r="E495" s="60">
        <v>1101</v>
      </c>
      <c r="F495" s="124">
        <v>0.1</v>
      </c>
      <c r="G495" s="64">
        <f t="shared" si="688"/>
        <v>1211.0999999999999</v>
      </c>
      <c r="H495" s="125" t="s">
        <v>67</v>
      </c>
      <c r="I495" s="90">
        <v>2.7E-2</v>
      </c>
      <c r="J495" s="91">
        <f t="shared" si="689"/>
        <v>32.6997</v>
      </c>
      <c r="K495" s="92">
        <f>'LABOR SHEET'!C$8</f>
        <v>36</v>
      </c>
      <c r="L495" s="93">
        <f t="shared" si="690"/>
        <v>0.97199999999999998</v>
      </c>
      <c r="M495" s="93">
        <f t="shared" si="691"/>
        <v>1177.1892</v>
      </c>
      <c r="N495" s="93">
        <v>0.66</v>
      </c>
      <c r="O495" s="93">
        <f t="shared" si="692"/>
        <v>799.32600000000002</v>
      </c>
      <c r="P495" s="93">
        <f t="shared" si="693"/>
        <v>1.6319999999999999</v>
      </c>
      <c r="Q495" s="112">
        <f t="shared" si="694"/>
        <v>1976.5152</v>
      </c>
    </row>
    <row r="496" spans="1:36" s="31" customFormat="1">
      <c r="A496" s="55">
        <f>IF(F496&lt;&gt;"",1+MAX($A$2:A495),"")</f>
        <v>353</v>
      </c>
      <c r="B496" s="174"/>
      <c r="C496" s="60"/>
      <c r="D496" s="147" t="s">
        <v>187</v>
      </c>
      <c r="E496" s="148">
        <f>ROUNDUP(E495/32,0)</f>
        <v>35</v>
      </c>
      <c r="F496" s="124">
        <v>0</v>
      </c>
      <c r="G496" s="64">
        <f t="shared" si="688"/>
        <v>35</v>
      </c>
      <c r="H496" s="125" t="s">
        <v>124</v>
      </c>
      <c r="I496" s="90"/>
      <c r="J496" s="91"/>
      <c r="K496" s="92"/>
      <c r="L496" s="93"/>
      <c r="M496" s="93"/>
      <c r="N496" s="93"/>
      <c r="O496" s="93"/>
      <c r="P496" s="93"/>
      <c r="Q496" s="112"/>
      <c r="R496" s="195"/>
      <c r="S496" s="195"/>
      <c r="T496" s="195"/>
      <c r="U496" s="195"/>
      <c r="V496" s="195"/>
      <c r="W496" s="195"/>
      <c r="X496" s="195"/>
      <c r="Y496" s="195"/>
      <c r="Z496" s="195"/>
      <c r="AA496" s="195"/>
      <c r="AB496" s="195"/>
      <c r="AC496" s="195"/>
      <c r="AD496" s="195"/>
      <c r="AE496" s="195"/>
      <c r="AF496" s="195"/>
      <c r="AG496" s="195"/>
      <c r="AH496" s="195"/>
      <c r="AI496" s="195"/>
      <c r="AJ496" s="195"/>
    </row>
    <row r="497" spans="1:36" s="31" customFormat="1">
      <c r="A497" s="55">
        <f>IF(F497&lt;&gt;"",1+MAX($A$2:A496),"")</f>
        <v>354</v>
      </c>
      <c r="B497" s="174"/>
      <c r="C497" s="60"/>
      <c r="D497" s="147" t="s">
        <v>323</v>
      </c>
      <c r="E497" s="148">
        <f>ROUNDUP(E495*1.33,0)</f>
        <v>1465</v>
      </c>
      <c r="F497" s="124">
        <v>0</v>
      </c>
      <c r="G497" s="64">
        <f t="shared" si="688"/>
        <v>1465</v>
      </c>
      <c r="H497" s="125" t="s">
        <v>124</v>
      </c>
      <c r="I497" s="90">
        <v>2E-3</v>
      </c>
      <c r="J497" s="91">
        <f t="shared" ref="J497:J499" si="701">+I497*G497</f>
        <v>2.93</v>
      </c>
      <c r="K497" s="92">
        <f>'LABOR SHEET'!C$8</f>
        <v>36</v>
      </c>
      <c r="L497" s="93">
        <f t="shared" ref="L497:L499" si="702">I497*K497</f>
        <v>7.1999999999999995E-2</v>
      </c>
      <c r="M497" s="93">
        <f t="shared" ref="M497:M499" si="703">K497*J497</f>
        <v>105.48</v>
      </c>
      <c r="N497" s="151">
        <v>0.06</v>
      </c>
      <c r="O497" s="93">
        <f t="shared" ref="O497:O499" si="704">N497*G497</f>
        <v>87.9</v>
      </c>
      <c r="P497" s="93">
        <f t="shared" ref="P497:P499" si="705">(I497*K497)+N497</f>
        <v>0.13200000000000001</v>
      </c>
      <c r="Q497" s="112">
        <f t="shared" ref="Q497:Q499" si="706">P497*G497</f>
        <v>193.38</v>
      </c>
      <c r="R497" s="195"/>
      <c r="S497" s="195"/>
      <c r="T497" s="195"/>
      <c r="U497" s="195"/>
      <c r="V497" s="195"/>
      <c r="W497" s="195"/>
      <c r="X497" s="195"/>
      <c r="Y497" s="195"/>
      <c r="Z497" s="195"/>
      <c r="AA497" s="195"/>
      <c r="AB497" s="195"/>
      <c r="AC497" s="195"/>
      <c r="AD497" s="195"/>
      <c r="AE497" s="195"/>
      <c r="AF497" s="195"/>
      <c r="AG497" s="195"/>
      <c r="AH497" s="195"/>
      <c r="AI497" s="195"/>
      <c r="AJ497" s="195"/>
    </row>
    <row r="498" spans="1:36" s="31" customFormat="1">
      <c r="A498" s="55">
        <f>IF(F498&lt;&gt;"",1+MAX($A$2:A497),"")</f>
        <v>355</v>
      </c>
      <c r="B498" s="174"/>
      <c r="C498" s="60"/>
      <c r="D498" s="147" t="s">
        <v>324</v>
      </c>
      <c r="E498" s="148">
        <f>ROUNDUP(E496*16,0)</f>
        <v>560</v>
      </c>
      <c r="F498" s="124">
        <v>0.05</v>
      </c>
      <c r="G498" s="64">
        <f t="shared" si="688"/>
        <v>588</v>
      </c>
      <c r="H498" s="125" t="s">
        <v>119</v>
      </c>
      <c r="I498" s="90">
        <v>1.0999999999999999E-2</v>
      </c>
      <c r="J498" s="91">
        <f t="shared" si="701"/>
        <v>6.468</v>
      </c>
      <c r="K498" s="92">
        <f>'LABOR SHEET'!C$8</f>
        <v>36</v>
      </c>
      <c r="L498" s="93">
        <f t="shared" si="702"/>
        <v>0.39600000000000002</v>
      </c>
      <c r="M498" s="93">
        <f t="shared" si="703"/>
        <v>232.84800000000001</v>
      </c>
      <c r="N498" s="151">
        <v>0.03</v>
      </c>
      <c r="O498" s="93">
        <f t="shared" si="704"/>
        <v>17.64</v>
      </c>
      <c r="P498" s="93">
        <f t="shared" si="705"/>
        <v>0.42599999999999999</v>
      </c>
      <c r="Q498" s="112">
        <f t="shared" si="706"/>
        <v>250.488</v>
      </c>
      <c r="R498" s="195"/>
      <c r="S498" s="195"/>
      <c r="T498" s="195"/>
      <c r="U498" s="195"/>
      <c r="V498" s="195"/>
      <c r="W498" s="195"/>
      <c r="X498" s="195"/>
      <c r="Y498" s="195"/>
      <c r="Z498" s="195"/>
      <c r="AA498" s="195"/>
      <c r="AB498" s="195"/>
      <c r="AC498" s="195"/>
      <c r="AD498" s="195"/>
      <c r="AE498" s="195"/>
      <c r="AF498" s="195"/>
      <c r="AG498" s="195"/>
      <c r="AH498" s="195"/>
      <c r="AI498" s="195"/>
      <c r="AJ498" s="195"/>
    </row>
    <row r="499" spans="1:36" s="31" customFormat="1">
      <c r="A499" s="55">
        <f>IF(F499&lt;&gt;"",1+MAX($A$2:A498),"")</f>
        <v>356</v>
      </c>
      <c r="B499" s="174"/>
      <c r="C499" s="60"/>
      <c r="D499" s="147" t="s">
        <v>325</v>
      </c>
      <c r="E499" s="148">
        <f>E495*0.084</f>
        <v>92.483999999999995</v>
      </c>
      <c r="F499" s="59">
        <v>0.05</v>
      </c>
      <c r="G499" s="64">
        <f t="shared" si="688"/>
        <v>97.108199999999997</v>
      </c>
      <c r="H499" s="125" t="s">
        <v>326</v>
      </c>
      <c r="I499" s="90">
        <v>0.11</v>
      </c>
      <c r="J499" s="91">
        <f t="shared" si="701"/>
        <v>10.681901999999999</v>
      </c>
      <c r="K499" s="92">
        <f>'LABOR SHEET'!C$8</f>
        <v>36</v>
      </c>
      <c r="L499" s="93">
        <f t="shared" si="702"/>
        <v>3.96</v>
      </c>
      <c r="M499" s="93">
        <f t="shared" si="703"/>
        <v>384.548472</v>
      </c>
      <c r="N499" s="93">
        <v>0.5</v>
      </c>
      <c r="O499" s="93">
        <f t="shared" si="704"/>
        <v>48.554099999999998</v>
      </c>
      <c r="P499" s="93">
        <f t="shared" si="705"/>
        <v>4.46</v>
      </c>
      <c r="Q499" s="112">
        <f t="shared" si="706"/>
        <v>433.10257200000001</v>
      </c>
      <c r="R499" s="195"/>
      <c r="S499" s="195"/>
      <c r="T499" s="195"/>
      <c r="U499" s="195"/>
      <c r="V499" s="195"/>
      <c r="W499" s="195"/>
      <c r="X499" s="195"/>
      <c r="Y499" s="195"/>
      <c r="Z499" s="195"/>
      <c r="AA499" s="195"/>
      <c r="AB499" s="195"/>
      <c r="AC499" s="195"/>
      <c r="AD499" s="195"/>
      <c r="AE499" s="195"/>
      <c r="AF499" s="195"/>
      <c r="AG499" s="195"/>
      <c r="AH499" s="195"/>
      <c r="AI499" s="195"/>
      <c r="AJ499" s="195"/>
    </row>
    <row r="500" spans="1:36" s="31" customFormat="1">
      <c r="A500" s="55">
        <f>IF(F500&lt;&gt;"",1+MAX($A$2:A499),"")</f>
        <v>357</v>
      </c>
      <c r="B500" s="174"/>
      <c r="C500" s="125"/>
      <c r="D500" s="57" t="s">
        <v>362</v>
      </c>
      <c r="E500" s="60">
        <v>2684</v>
      </c>
      <c r="F500" s="124">
        <v>0.1</v>
      </c>
      <c r="G500" s="64">
        <f t="shared" si="688"/>
        <v>2952.4</v>
      </c>
      <c r="H500" s="125" t="s">
        <v>67</v>
      </c>
      <c r="I500" s="90">
        <v>2.5999999999999999E-2</v>
      </c>
      <c r="J500" s="91">
        <f t="shared" si="689"/>
        <v>76.7624</v>
      </c>
      <c r="K500" s="92">
        <f>'LABOR SHEET'!C$8</f>
        <v>36</v>
      </c>
      <c r="L500" s="93">
        <f t="shared" si="690"/>
        <v>0.93600000000000005</v>
      </c>
      <c r="M500" s="93">
        <f t="shared" si="691"/>
        <v>2763.4463999999998</v>
      </c>
      <c r="N500" s="93">
        <v>0.56000000000000005</v>
      </c>
      <c r="O500" s="93">
        <f t="shared" si="692"/>
        <v>1653.3440000000001</v>
      </c>
      <c r="P500" s="93">
        <f t="shared" si="693"/>
        <v>1.496</v>
      </c>
      <c r="Q500" s="112">
        <f t="shared" si="694"/>
        <v>4416.7903999999999</v>
      </c>
    </row>
    <row r="501" spans="1:36" s="31" customFormat="1">
      <c r="A501" s="55">
        <f>IF(F501&lt;&gt;"",1+MAX($A$2:A500),"")</f>
        <v>358</v>
      </c>
      <c r="B501" s="174"/>
      <c r="C501" s="60"/>
      <c r="D501" s="147" t="s">
        <v>187</v>
      </c>
      <c r="E501" s="148">
        <f>ROUNDUP(E500/32,0)</f>
        <v>84</v>
      </c>
      <c r="F501" s="124">
        <v>0</v>
      </c>
      <c r="G501" s="64">
        <f t="shared" si="688"/>
        <v>84</v>
      </c>
      <c r="H501" s="125" t="s">
        <v>124</v>
      </c>
      <c r="I501" s="90"/>
      <c r="J501" s="91">
        <f t="shared" si="689"/>
        <v>0</v>
      </c>
      <c r="K501" s="92"/>
      <c r="L501" s="93"/>
      <c r="M501" s="93"/>
      <c r="N501" s="93"/>
      <c r="O501" s="93"/>
      <c r="P501" s="93"/>
      <c r="Q501" s="112"/>
      <c r="R501" s="195"/>
      <c r="S501" s="195"/>
      <c r="T501" s="195"/>
      <c r="U501" s="195"/>
      <c r="V501" s="195"/>
      <c r="W501" s="195"/>
      <c r="X501" s="195"/>
      <c r="Y501" s="195"/>
      <c r="Z501" s="195"/>
      <c r="AA501" s="195"/>
      <c r="AB501" s="195"/>
      <c r="AC501" s="195"/>
      <c r="AD501" s="195"/>
      <c r="AE501" s="195"/>
      <c r="AF501" s="195"/>
      <c r="AG501" s="195"/>
      <c r="AH501" s="195"/>
      <c r="AI501" s="195"/>
      <c r="AJ501" s="195"/>
    </row>
    <row r="502" spans="1:36" s="31" customFormat="1">
      <c r="A502" s="55">
        <f>IF(F502&lt;&gt;"",1+MAX($A$2:A501),"")</f>
        <v>359</v>
      </c>
      <c r="B502" s="174"/>
      <c r="C502" s="60"/>
      <c r="D502" s="147" t="s">
        <v>323</v>
      </c>
      <c r="E502" s="148">
        <f>ROUNDUP(E500*1.33,0)</f>
        <v>3570</v>
      </c>
      <c r="F502" s="124">
        <v>0</v>
      </c>
      <c r="G502" s="64">
        <f t="shared" si="688"/>
        <v>3570</v>
      </c>
      <c r="H502" s="125" t="s">
        <v>124</v>
      </c>
      <c r="I502" s="90">
        <v>2E-3</v>
      </c>
      <c r="J502" s="91">
        <f t="shared" ref="J502:J504" si="707">+I502*G502</f>
        <v>7.14</v>
      </c>
      <c r="K502" s="92">
        <f>'LABOR SHEET'!C$8</f>
        <v>36</v>
      </c>
      <c r="L502" s="93">
        <f t="shared" ref="L502:L504" si="708">I502*K502</f>
        <v>7.1999999999999995E-2</v>
      </c>
      <c r="M502" s="93">
        <f t="shared" ref="M502:M504" si="709">K502*J502</f>
        <v>257.04000000000002</v>
      </c>
      <c r="N502" s="151">
        <v>0.06</v>
      </c>
      <c r="O502" s="93">
        <f t="shared" ref="O502:O504" si="710">N502*G502</f>
        <v>214.2</v>
      </c>
      <c r="P502" s="93">
        <f t="shared" ref="P502:P504" si="711">(I502*K502)+N502</f>
        <v>0.13200000000000001</v>
      </c>
      <c r="Q502" s="112">
        <f t="shared" ref="Q502:Q504" si="712">P502*G502</f>
        <v>471.24</v>
      </c>
      <c r="R502" s="195"/>
      <c r="S502" s="195"/>
      <c r="T502" s="195"/>
      <c r="U502" s="195"/>
      <c r="V502" s="195"/>
      <c r="W502" s="195"/>
      <c r="X502" s="195"/>
      <c r="Y502" s="195"/>
      <c r="Z502" s="195"/>
      <c r="AA502" s="195"/>
      <c r="AB502" s="195"/>
      <c r="AC502" s="195"/>
      <c r="AD502" s="195"/>
      <c r="AE502" s="195"/>
      <c r="AF502" s="195"/>
      <c r="AG502" s="195"/>
      <c r="AH502" s="195"/>
      <c r="AI502" s="195"/>
      <c r="AJ502" s="195"/>
    </row>
    <row r="503" spans="1:36" s="31" customFormat="1">
      <c r="A503" s="55">
        <f>IF(F503&lt;&gt;"",1+MAX($A$2:A502),"")</f>
        <v>360</v>
      </c>
      <c r="B503" s="174"/>
      <c r="C503" s="60"/>
      <c r="D503" s="147" t="s">
        <v>324</v>
      </c>
      <c r="E503" s="148">
        <f>ROUNDUP(E501*16,0)</f>
        <v>1344</v>
      </c>
      <c r="F503" s="124">
        <v>0.05</v>
      </c>
      <c r="G503" s="64">
        <f t="shared" si="688"/>
        <v>1411.2</v>
      </c>
      <c r="H503" s="125" t="s">
        <v>119</v>
      </c>
      <c r="I503" s="90">
        <v>1.0999999999999999E-2</v>
      </c>
      <c r="J503" s="91">
        <f t="shared" si="707"/>
        <v>15.523199999999999</v>
      </c>
      <c r="K503" s="92">
        <f>'LABOR SHEET'!C$8</f>
        <v>36</v>
      </c>
      <c r="L503" s="93">
        <f t="shared" si="708"/>
        <v>0.39600000000000002</v>
      </c>
      <c r="M503" s="93">
        <f t="shared" si="709"/>
        <v>558.83519999999999</v>
      </c>
      <c r="N503" s="151">
        <v>0.03</v>
      </c>
      <c r="O503" s="93">
        <f t="shared" si="710"/>
        <v>42.335999999999999</v>
      </c>
      <c r="P503" s="93">
        <f t="shared" si="711"/>
        <v>0.42599999999999999</v>
      </c>
      <c r="Q503" s="112">
        <f t="shared" si="712"/>
        <v>601.1712</v>
      </c>
      <c r="R503" s="195"/>
      <c r="S503" s="195"/>
      <c r="T503" s="195"/>
      <c r="U503" s="195"/>
      <c r="V503" s="195"/>
      <c r="W503" s="195"/>
      <c r="X503" s="195"/>
      <c r="Y503" s="195"/>
      <c r="Z503" s="195"/>
      <c r="AA503" s="195"/>
      <c r="AB503" s="195"/>
      <c r="AC503" s="195"/>
      <c r="AD503" s="195"/>
      <c r="AE503" s="195"/>
      <c r="AF503" s="195"/>
      <c r="AG503" s="195"/>
      <c r="AH503" s="195"/>
      <c r="AI503" s="195"/>
      <c r="AJ503" s="195"/>
    </row>
    <row r="504" spans="1:36" s="31" customFormat="1">
      <c r="A504" s="55">
        <f>IF(F504&lt;&gt;"",1+MAX($A$2:A503),"")</f>
        <v>361</v>
      </c>
      <c r="B504" s="174"/>
      <c r="C504" s="60"/>
      <c r="D504" s="147" t="s">
        <v>325</v>
      </c>
      <c r="E504" s="148">
        <f>E500*0.084</f>
        <v>225.45599999999999</v>
      </c>
      <c r="F504" s="59">
        <v>0.05</v>
      </c>
      <c r="G504" s="64">
        <f t="shared" si="688"/>
        <v>236.72880000000001</v>
      </c>
      <c r="H504" s="125" t="s">
        <v>326</v>
      </c>
      <c r="I504" s="90">
        <v>0.11</v>
      </c>
      <c r="J504" s="91">
        <f t="shared" si="707"/>
        <v>26.040168000000001</v>
      </c>
      <c r="K504" s="92">
        <f>'LABOR SHEET'!C$8</f>
        <v>36</v>
      </c>
      <c r="L504" s="93">
        <f t="shared" si="708"/>
        <v>3.96</v>
      </c>
      <c r="M504" s="93">
        <f t="shared" si="709"/>
        <v>937.44604800000002</v>
      </c>
      <c r="N504" s="93">
        <v>0.5</v>
      </c>
      <c r="O504" s="93">
        <f t="shared" si="710"/>
        <v>118.3644</v>
      </c>
      <c r="P504" s="93">
        <f t="shared" si="711"/>
        <v>4.46</v>
      </c>
      <c r="Q504" s="112">
        <f t="shared" si="712"/>
        <v>1055.810448</v>
      </c>
      <c r="R504" s="195"/>
      <c r="S504" s="195"/>
      <c r="T504" s="195"/>
      <c r="U504" s="195"/>
      <c r="V504" s="195"/>
      <c r="W504" s="195"/>
      <c r="X504" s="195"/>
      <c r="Y504" s="195"/>
      <c r="Z504" s="195"/>
      <c r="AA504" s="195"/>
      <c r="AB504" s="195"/>
      <c r="AC504" s="195"/>
      <c r="AD504" s="195"/>
      <c r="AE504" s="195"/>
      <c r="AF504" s="195"/>
      <c r="AG504" s="195"/>
      <c r="AH504" s="195"/>
      <c r="AI504" s="195"/>
      <c r="AJ504" s="195"/>
    </row>
    <row r="505" spans="1:36" s="31" customFormat="1">
      <c r="A505" s="55">
        <f>IF(F505&lt;&gt;"",1+MAX($A$2:A504),"")</f>
        <v>362</v>
      </c>
      <c r="B505" s="174"/>
      <c r="C505" s="125"/>
      <c r="D505" s="57" t="s">
        <v>363</v>
      </c>
      <c r="E505" s="60">
        <v>518</v>
      </c>
      <c r="F505" s="124">
        <v>0.1</v>
      </c>
      <c r="G505" s="64">
        <f t="shared" si="688"/>
        <v>569.79999999999995</v>
      </c>
      <c r="H505" s="125" t="s">
        <v>67</v>
      </c>
      <c r="I505" s="90">
        <v>2.7E-2</v>
      </c>
      <c r="J505" s="91">
        <f t="shared" si="689"/>
        <v>15.384600000000001</v>
      </c>
      <c r="K505" s="92">
        <f>'LABOR SHEET'!C$8</f>
        <v>36</v>
      </c>
      <c r="L505" s="93">
        <f t="shared" si="690"/>
        <v>0.97199999999999998</v>
      </c>
      <c r="M505" s="93">
        <f t="shared" si="691"/>
        <v>553.84559999999999</v>
      </c>
      <c r="N505" s="93">
        <v>0.56000000000000005</v>
      </c>
      <c r="O505" s="93">
        <f t="shared" si="692"/>
        <v>319.08800000000002</v>
      </c>
      <c r="P505" s="93">
        <f t="shared" si="693"/>
        <v>1.532</v>
      </c>
      <c r="Q505" s="112">
        <f t="shared" si="694"/>
        <v>872.93359999999996</v>
      </c>
    </row>
    <row r="506" spans="1:36" s="31" customFormat="1">
      <c r="A506" s="55">
        <f>IF(F506&lt;&gt;"",1+MAX($A$2:A505),"")</f>
        <v>363</v>
      </c>
      <c r="B506" s="174"/>
      <c r="C506" s="60"/>
      <c r="D506" s="147" t="s">
        <v>187</v>
      </c>
      <c r="E506" s="148">
        <f>ROUNDUP(E505/32,0)</f>
        <v>17</v>
      </c>
      <c r="F506" s="124">
        <v>0</v>
      </c>
      <c r="G506" s="64">
        <f t="shared" si="688"/>
        <v>17</v>
      </c>
      <c r="H506" s="125" t="s">
        <v>124</v>
      </c>
      <c r="I506" s="90"/>
      <c r="J506" s="91"/>
      <c r="K506" s="92"/>
      <c r="L506" s="93"/>
      <c r="M506" s="93"/>
      <c r="N506" s="93"/>
      <c r="O506" s="93"/>
      <c r="P506" s="93"/>
      <c r="Q506" s="112"/>
      <c r="R506" s="195"/>
      <c r="S506" s="195"/>
      <c r="T506" s="195"/>
      <c r="U506" s="195"/>
      <c r="V506" s="195"/>
      <c r="W506" s="195"/>
      <c r="X506" s="195"/>
      <c r="Y506" s="195"/>
      <c r="Z506" s="195"/>
      <c r="AA506" s="195"/>
      <c r="AB506" s="195"/>
      <c r="AC506" s="195"/>
      <c r="AD506" s="195"/>
      <c r="AE506" s="195"/>
      <c r="AF506" s="195"/>
      <c r="AG506" s="195"/>
      <c r="AH506" s="195"/>
      <c r="AI506" s="195"/>
      <c r="AJ506" s="195"/>
    </row>
    <row r="507" spans="1:36" s="31" customFormat="1">
      <c r="A507" s="55">
        <f>IF(F507&lt;&gt;"",1+MAX($A$2:A506),"")</f>
        <v>364</v>
      </c>
      <c r="B507" s="174"/>
      <c r="C507" s="60"/>
      <c r="D507" s="147" t="s">
        <v>323</v>
      </c>
      <c r="E507" s="148">
        <f>ROUNDUP(E505*1.33,0)</f>
        <v>689</v>
      </c>
      <c r="F507" s="124">
        <v>0</v>
      </c>
      <c r="G507" s="64">
        <f t="shared" si="688"/>
        <v>689</v>
      </c>
      <c r="H507" s="125" t="s">
        <v>124</v>
      </c>
      <c r="I507" s="90">
        <v>2E-3</v>
      </c>
      <c r="J507" s="91">
        <f t="shared" ref="J507:J509" si="713">+I507*G507</f>
        <v>1.3779999999999999</v>
      </c>
      <c r="K507" s="92">
        <f>'LABOR SHEET'!C$8</f>
        <v>36</v>
      </c>
      <c r="L507" s="93">
        <f t="shared" ref="L507:L509" si="714">I507*K507</f>
        <v>7.1999999999999995E-2</v>
      </c>
      <c r="M507" s="93">
        <f t="shared" ref="M507:M509" si="715">K507*J507</f>
        <v>49.607999999999997</v>
      </c>
      <c r="N507" s="151">
        <v>0.06</v>
      </c>
      <c r="O507" s="93">
        <f t="shared" ref="O507:O509" si="716">N507*G507</f>
        <v>41.34</v>
      </c>
      <c r="P507" s="93">
        <f t="shared" ref="P507:P509" si="717">(I507*K507)+N507</f>
        <v>0.13200000000000001</v>
      </c>
      <c r="Q507" s="112">
        <f t="shared" ref="Q507:Q509" si="718">P507*G507</f>
        <v>90.947999999999993</v>
      </c>
      <c r="R507" s="195"/>
      <c r="S507" s="195"/>
      <c r="T507" s="195"/>
      <c r="U507" s="195"/>
      <c r="V507" s="195"/>
      <c r="W507" s="195"/>
      <c r="X507" s="195"/>
      <c r="Y507" s="195"/>
      <c r="Z507" s="195"/>
      <c r="AA507" s="195"/>
      <c r="AB507" s="195"/>
      <c r="AC507" s="195"/>
      <c r="AD507" s="195"/>
      <c r="AE507" s="195"/>
      <c r="AF507" s="195"/>
      <c r="AG507" s="195"/>
      <c r="AH507" s="195"/>
      <c r="AI507" s="195"/>
      <c r="AJ507" s="195"/>
    </row>
    <row r="508" spans="1:36" s="31" customFormat="1">
      <c r="A508" s="55">
        <f>IF(F508&lt;&gt;"",1+MAX($A$2:A507),"")</f>
        <v>365</v>
      </c>
      <c r="B508" s="174"/>
      <c r="C508" s="60"/>
      <c r="D508" s="147" t="s">
        <v>324</v>
      </c>
      <c r="E508" s="148">
        <f>ROUNDUP(E506*16,0)</f>
        <v>272</v>
      </c>
      <c r="F508" s="124">
        <v>0.05</v>
      </c>
      <c r="G508" s="64">
        <f t="shared" si="688"/>
        <v>285.60000000000002</v>
      </c>
      <c r="H508" s="125" t="s">
        <v>119</v>
      </c>
      <c r="I508" s="90">
        <v>1.0999999999999999E-2</v>
      </c>
      <c r="J508" s="91">
        <f t="shared" si="713"/>
        <v>3.1415999999999999</v>
      </c>
      <c r="K508" s="92">
        <f>'LABOR SHEET'!C$8</f>
        <v>36</v>
      </c>
      <c r="L508" s="93">
        <f t="shared" si="714"/>
        <v>0.39600000000000002</v>
      </c>
      <c r="M508" s="93">
        <f t="shared" si="715"/>
        <v>113.0976</v>
      </c>
      <c r="N508" s="151">
        <v>0.03</v>
      </c>
      <c r="O508" s="93">
        <f t="shared" si="716"/>
        <v>8.5679999999999996</v>
      </c>
      <c r="P508" s="93">
        <f t="shared" si="717"/>
        <v>0.42599999999999999</v>
      </c>
      <c r="Q508" s="112">
        <f t="shared" si="718"/>
        <v>121.6656</v>
      </c>
      <c r="R508" s="195"/>
      <c r="S508" s="195"/>
      <c r="T508" s="195"/>
      <c r="U508" s="195"/>
      <c r="V508" s="195"/>
      <c r="W508" s="195"/>
      <c r="X508" s="195"/>
      <c r="Y508" s="195"/>
      <c r="Z508" s="195"/>
      <c r="AA508" s="195"/>
      <c r="AB508" s="195"/>
      <c r="AC508" s="195"/>
      <c r="AD508" s="195"/>
      <c r="AE508" s="195"/>
      <c r="AF508" s="195"/>
      <c r="AG508" s="195"/>
      <c r="AH508" s="195"/>
      <c r="AI508" s="195"/>
      <c r="AJ508" s="195"/>
    </row>
    <row r="509" spans="1:36" s="31" customFormat="1">
      <c r="A509" s="55">
        <f>IF(F509&lt;&gt;"",1+MAX($A$2:A508),"")</f>
        <v>366</v>
      </c>
      <c r="B509" s="174"/>
      <c r="C509" s="60"/>
      <c r="D509" s="147" t="s">
        <v>325</v>
      </c>
      <c r="E509" s="148">
        <f>E505*0.084</f>
        <v>43.512</v>
      </c>
      <c r="F509" s="124">
        <v>0.05</v>
      </c>
      <c r="G509" s="64">
        <f t="shared" si="688"/>
        <v>45.687600000000003</v>
      </c>
      <c r="H509" s="125" t="s">
        <v>326</v>
      </c>
      <c r="I509" s="90">
        <v>0.11</v>
      </c>
      <c r="J509" s="91">
        <f t="shared" si="713"/>
        <v>5.0256360000000004</v>
      </c>
      <c r="K509" s="92">
        <f>'LABOR SHEET'!C$8</f>
        <v>36</v>
      </c>
      <c r="L509" s="93">
        <f t="shared" si="714"/>
        <v>3.96</v>
      </c>
      <c r="M509" s="93">
        <f t="shared" si="715"/>
        <v>180.92289600000001</v>
      </c>
      <c r="N509" s="93">
        <v>0.5</v>
      </c>
      <c r="O509" s="93">
        <f t="shared" si="716"/>
        <v>22.843800000000002</v>
      </c>
      <c r="P509" s="93">
        <f t="shared" si="717"/>
        <v>4.46</v>
      </c>
      <c r="Q509" s="112">
        <f t="shared" si="718"/>
        <v>203.766696</v>
      </c>
      <c r="R509" s="195"/>
      <c r="S509" s="195"/>
      <c r="T509" s="195"/>
      <c r="U509" s="195"/>
      <c r="V509" s="195"/>
      <c r="W509" s="195"/>
      <c r="X509" s="195"/>
      <c r="Y509" s="195"/>
      <c r="Z509" s="195"/>
      <c r="AA509" s="195"/>
      <c r="AB509" s="195"/>
      <c r="AC509" s="195"/>
      <c r="AD509" s="195"/>
      <c r="AE509" s="195"/>
      <c r="AF509" s="195"/>
      <c r="AG509" s="195"/>
      <c r="AH509" s="195"/>
      <c r="AI509" s="195"/>
      <c r="AJ509" s="195"/>
    </row>
    <row r="510" spans="1:36" s="31" customFormat="1">
      <c r="A510" s="55">
        <f>IF(F510&lt;&gt;"",1+MAX($A$2:A509),"")</f>
        <v>367</v>
      </c>
      <c r="B510" s="174"/>
      <c r="C510" s="125"/>
      <c r="D510" s="155" t="s">
        <v>364</v>
      </c>
      <c r="E510" s="156">
        <v>2532.33</v>
      </c>
      <c r="F510" s="124">
        <v>0.1</v>
      </c>
      <c r="G510" s="64">
        <f t="shared" si="688"/>
        <v>2785.5630000000001</v>
      </c>
      <c r="H510" s="125" t="s">
        <v>67</v>
      </c>
      <c r="I510" s="90">
        <v>3.7999999999999999E-2</v>
      </c>
      <c r="J510" s="91">
        <f t="shared" si="689"/>
        <v>105.851394</v>
      </c>
      <c r="K510" s="92">
        <f>'LABOR SHEET'!C$8</f>
        <v>36</v>
      </c>
      <c r="L510" s="93">
        <f t="shared" si="690"/>
        <v>1.3680000000000001</v>
      </c>
      <c r="M510" s="93">
        <f t="shared" si="691"/>
        <v>3810.6501840000001</v>
      </c>
      <c r="N510" s="93">
        <v>4.0999999999999996</v>
      </c>
      <c r="O510" s="93">
        <f t="shared" si="692"/>
        <v>11420.808300000001</v>
      </c>
      <c r="P510" s="93">
        <f t="shared" si="693"/>
        <v>5.468</v>
      </c>
      <c r="Q510" s="112">
        <f t="shared" si="694"/>
        <v>15231.458484000001</v>
      </c>
    </row>
    <row r="511" spans="1:36" s="31" customFormat="1">
      <c r="A511" s="55">
        <f>IF(F511&lt;&gt;"",1+MAX($A$2:A510),"")</f>
        <v>368</v>
      </c>
      <c r="B511" s="174"/>
      <c r="C511" s="125"/>
      <c r="D511" s="155" t="s">
        <v>365</v>
      </c>
      <c r="E511" s="156">
        <v>39.54</v>
      </c>
      <c r="F511" s="124">
        <v>0.1</v>
      </c>
      <c r="G511" s="64">
        <f t="shared" si="688"/>
        <v>43.494</v>
      </c>
      <c r="H511" s="125" t="s">
        <v>67</v>
      </c>
      <c r="I511" s="90">
        <v>0.2</v>
      </c>
      <c r="J511" s="91">
        <f t="shared" si="689"/>
        <v>8.6988000000000003</v>
      </c>
      <c r="K511" s="92">
        <f>'LABOR SHEET'!C$8</f>
        <v>36</v>
      </c>
      <c r="L511" s="93">
        <f t="shared" si="690"/>
        <v>7.2</v>
      </c>
      <c r="M511" s="93">
        <f t="shared" si="691"/>
        <v>313.15679999999998</v>
      </c>
      <c r="N511" s="93">
        <v>17.95</v>
      </c>
      <c r="O511" s="93">
        <f t="shared" si="692"/>
        <v>780.71730000000002</v>
      </c>
      <c r="P511" s="93">
        <f t="shared" si="693"/>
        <v>25.15</v>
      </c>
      <c r="Q511" s="112">
        <f t="shared" si="694"/>
        <v>1093.8741</v>
      </c>
    </row>
    <row r="512" spans="1:36" s="31" customFormat="1">
      <c r="A512" s="55">
        <f>IF(F512&lt;&gt;"",1+MAX($A$2:A511),"")</f>
        <v>369</v>
      </c>
      <c r="B512" s="174"/>
      <c r="C512" s="125"/>
      <c r="D512" s="155" t="s">
        <v>366</v>
      </c>
      <c r="E512" s="156">
        <v>14136</v>
      </c>
      <c r="F512" s="124">
        <v>0.1</v>
      </c>
      <c r="G512" s="64">
        <f t="shared" si="688"/>
        <v>15549.6</v>
      </c>
      <c r="H512" s="125" t="s">
        <v>67</v>
      </c>
      <c r="I512" s="90">
        <v>0.03</v>
      </c>
      <c r="J512" s="91">
        <f t="shared" si="689"/>
        <v>466.488</v>
      </c>
      <c r="K512" s="92">
        <f>'LABOR SHEET'!C$10</f>
        <v>26.5</v>
      </c>
      <c r="L512" s="93">
        <f t="shared" si="690"/>
        <v>0.79500000000000004</v>
      </c>
      <c r="M512" s="93">
        <f t="shared" si="691"/>
        <v>12361.932000000001</v>
      </c>
      <c r="N512" s="93">
        <v>0.55000000000000004</v>
      </c>
      <c r="O512" s="93">
        <f t="shared" si="692"/>
        <v>8552.2800000000007</v>
      </c>
      <c r="P512" s="93">
        <f t="shared" si="693"/>
        <v>1.345</v>
      </c>
      <c r="Q512" s="112">
        <f t="shared" si="694"/>
        <v>20914.212</v>
      </c>
    </row>
    <row r="513" spans="1:36" s="31" customFormat="1">
      <c r="A513" s="55">
        <f>IF(F513&lt;&gt;"",1+MAX($A$2:A512),"")</f>
        <v>370</v>
      </c>
      <c r="B513" s="174"/>
      <c r="C513" s="125"/>
      <c r="D513" s="155" t="s">
        <v>367</v>
      </c>
      <c r="E513" s="156">
        <v>2532.33</v>
      </c>
      <c r="F513" s="124">
        <v>0.1</v>
      </c>
      <c r="G513" s="64">
        <f t="shared" si="688"/>
        <v>2785.5630000000001</v>
      </c>
      <c r="H513" s="125" t="s">
        <v>67</v>
      </c>
      <c r="I513" s="90">
        <v>2.8000000000000001E-2</v>
      </c>
      <c r="J513" s="91">
        <f t="shared" si="689"/>
        <v>77.995763999999994</v>
      </c>
      <c r="K513" s="92">
        <f>'LABOR SHEET'!C$10</f>
        <v>26.5</v>
      </c>
      <c r="L513" s="93">
        <f t="shared" si="690"/>
        <v>0.74199999999999999</v>
      </c>
      <c r="M513" s="93">
        <f t="shared" si="691"/>
        <v>2066.8877459999999</v>
      </c>
      <c r="N513" s="93">
        <v>0.55000000000000004</v>
      </c>
      <c r="O513" s="93">
        <f t="shared" si="692"/>
        <v>1532.0596499999999</v>
      </c>
      <c r="P513" s="93">
        <f t="shared" si="693"/>
        <v>1.292</v>
      </c>
      <c r="Q513" s="112">
        <f t="shared" si="694"/>
        <v>3598.947396</v>
      </c>
    </row>
    <row r="514" spans="1:36" s="31" customFormat="1">
      <c r="A514" s="55" t="str">
        <f>IF(F514&lt;&gt;"",1+MAX($A$2:A513),"")</f>
        <v/>
      </c>
      <c r="B514" s="174"/>
      <c r="C514" s="125"/>
      <c r="D514" s="57"/>
      <c r="E514" s="60"/>
      <c r="F514" s="124"/>
      <c r="G514" s="145"/>
      <c r="H514" s="125"/>
      <c r="I514" s="90"/>
      <c r="J514" s="91"/>
      <c r="K514" s="92"/>
      <c r="L514" s="93"/>
      <c r="M514" s="93"/>
      <c r="N514" s="93"/>
      <c r="O514" s="93"/>
      <c r="P514" s="93"/>
      <c r="Q514" s="111"/>
    </row>
    <row r="515" spans="1:36" s="31" customFormat="1">
      <c r="A515" s="55" t="str">
        <f>IF(F515&lt;&gt;"",1+MAX($A$2:A514),"")</f>
        <v/>
      </c>
      <c r="B515" s="174"/>
      <c r="C515" s="60"/>
      <c r="D515" s="143" t="s">
        <v>368</v>
      </c>
      <c r="E515" s="173"/>
      <c r="F515" s="173"/>
      <c r="G515" s="173"/>
      <c r="H515" s="173"/>
      <c r="I515" s="90"/>
      <c r="J515" s="125"/>
      <c r="K515" s="125"/>
      <c r="L515" s="93"/>
      <c r="M515" s="93"/>
      <c r="N515" s="93"/>
      <c r="O515" s="93"/>
      <c r="P515" s="93"/>
      <c r="Q515" s="111"/>
      <c r="R515" s="195"/>
      <c r="S515" s="195"/>
      <c r="T515" s="195"/>
      <c r="U515" s="195"/>
      <c r="V515" s="195"/>
      <c r="W515" s="195"/>
      <c r="X515" s="195"/>
      <c r="Y515" s="195"/>
      <c r="Z515" s="195"/>
      <c r="AA515" s="195"/>
      <c r="AB515" s="195"/>
      <c r="AC515" s="195"/>
      <c r="AD515" s="195"/>
      <c r="AE515" s="195"/>
      <c r="AF515" s="195"/>
      <c r="AG515" s="195"/>
      <c r="AH515" s="195"/>
      <c r="AI515" s="195"/>
      <c r="AJ515" s="195"/>
    </row>
    <row r="516" spans="1:36" s="31" customFormat="1">
      <c r="A516" s="55">
        <f>IF(F516&lt;&gt;"",1+MAX($A$2:A515),"")</f>
        <v>371</v>
      </c>
      <c r="B516" s="174"/>
      <c r="C516" s="125"/>
      <c r="D516" s="57" t="s">
        <v>369</v>
      </c>
      <c r="E516" s="156">
        <v>44603</v>
      </c>
      <c r="F516" s="124">
        <v>0.1</v>
      </c>
      <c r="G516" s="64">
        <f t="shared" ref="G516:G520" si="719">(F516*E516)+E516</f>
        <v>49063.3</v>
      </c>
      <c r="H516" s="125" t="s">
        <v>67</v>
      </c>
      <c r="I516" s="90">
        <v>2.5999999999999999E-2</v>
      </c>
      <c r="J516" s="91">
        <f t="shared" ref="J516:J518" si="720">+I516*G516</f>
        <v>1275.6458</v>
      </c>
      <c r="K516" s="92">
        <f>'LABOR SHEET'!C$10</f>
        <v>26.5</v>
      </c>
      <c r="L516" s="93">
        <f t="shared" ref="L516:L518" si="721">I516*K516</f>
        <v>0.68899999999999995</v>
      </c>
      <c r="M516" s="93">
        <f t="shared" ref="M516:M518" si="722">K516*J516</f>
        <v>33804.613700000002</v>
      </c>
      <c r="N516" s="93">
        <v>0.55000000000000004</v>
      </c>
      <c r="O516" s="93">
        <f t="shared" ref="O516:O518" si="723">N516*G516</f>
        <v>26984.814999999999</v>
      </c>
      <c r="P516" s="93">
        <f t="shared" ref="P516:P518" si="724">(I516*K516)+N516</f>
        <v>1.2390000000000001</v>
      </c>
      <c r="Q516" s="112">
        <f t="shared" ref="Q516:Q518" si="725">P516*G516</f>
        <v>60789.428699999997</v>
      </c>
    </row>
    <row r="517" spans="1:36" s="31" customFormat="1">
      <c r="A517" s="55">
        <f>IF(F517&lt;&gt;"",1+MAX($A$2:A516),"")</f>
        <v>372</v>
      </c>
      <c r="B517" s="174"/>
      <c r="C517" s="125"/>
      <c r="D517" s="57" t="s">
        <v>370</v>
      </c>
      <c r="E517" s="156">
        <v>1084</v>
      </c>
      <c r="F517" s="124">
        <v>0.1</v>
      </c>
      <c r="G517" s="64">
        <f t="shared" si="719"/>
        <v>1192.4000000000001</v>
      </c>
      <c r="H517" s="125" t="s">
        <v>67</v>
      </c>
      <c r="I517" s="90">
        <v>0.06</v>
      </c>
      <c r="J517" s="91">
        <f t="shared" si="720"/>
        <v>71.543999999999997</v>
      </c>
      <c r="K517" s="92">
        <f>'LABOR SHEET'!C$12</f>
        <v>28</v>
      </c>
      <c r="L517" s="93">
        <f t="shared" si="721"/>
        <v>1.68</v>
      </c>
      <c r="M517" s="93">
        <f t="shared" si="722"/>
        <v>2003.232</v>
      </c>
      <c r="N517" s="93">
        <v>9.1999999999999993</v>
      </c>
      <c r="O517" s="93">
        <f t="shared" si="723"/>
        <v>10970.08</v>
      </c>
      <c r="P517" s="93">
        <f t="shared" si="724"/>
        <v>10.88</v>
      </c>
      <c r="Q517" s="112">
        <f t="shared" si="725"/>
        <v>12973.312</v>
      </c>
    </row>
    <row r="518" spans="1:36" s="31" customFormat="1">
      <c r="A518" s="55">
        <f>IF(F518&lt;&gt;"",1+MAX($A$2:A517),"")</f>
        <v>373</v>
      </c>
      <c r="B518" s="174"/>
      <c r="C518" s="125"/>
      <c r="D518" s="155" t="s">
        <v>371</v>
      </c>
      <c r="E518" s="156">
        <v>230</v>
      </c>
      <c r="F518" s="124">
        <v>0.1</v>
      </c>
      <c r="G518" s="64">
        <f t="shared" si="719"/>
        <v>253</v>
      </c>
      <c r="H518" s="125" t="s">
        <v>67</v>
      </c>
      <c r="I518" s="90">
        <v>7.5999999999999998E-2</v>
      </c>
      <c r="J518" s="91">
        <f t="shared" si="720"/>
        <v>19.228000000000002</v>
      </c>
      <c r="K518" s="92">
        <f>'LABOR SHEET'!C$12</f>
        <v>28</v>
      </c>
      <c r="L518" s="93">
        <f t="shared" si="721"/>
        <v>2.1280000000000001</v>
      </c>
      <c r="M518" s="93">
        <f t="shared" si="722"/>
        <v>538.38400000000001</v>
      </c>
      <c r="N518" s="93">
        <v>16.8</v>
      </c>
      <c r="O518" s="93">
        <f t="shared" si="723"/>
        <v>4250.3999999999996</v>
      </c>
      <c r="P518" s="93">
        <f t="shared" si="724"/>
        <v>18.928000000000001</v>
      </c>
      <c r="Q518" s="112">
        <f t="shared" si="725"/>
        <v>4788.7839999999997</v>
      </c>
    </row>
    <row r="519" spans="1:36" s="31" customFormat="1">
      <c r="A519" s="55">
        <f>IF(F519&lt;&gt;"",1+MAX($A$2:A518),"")</f>
        <v>374</v>
      </c>
      <c r="B519" s="174"/>
      <c r="C519" s="125"/>
      <c r="D519" s="155" t="s">
        <v>372</v>
      </c>
      <c r="E519" s="156">
        <v>254</v>
      </c>
      <c r="F519" s="124">
        <v>0.1</v>
      </c>
      <c r="G519" s="64">
        <f t="shared" si="719"/>
        <v>279.39999999999998</v>
      </c>
      <c r="H519" s="125" t="s">
        <v>67</v>
      </c>
      <c r="I519" s="90">
        <v>0.1</v>
      </c>
      <c r="J519" s="91">
        <f t="shared" ref="J519:J520" si="726">+I519*G519</f>
        <v>27.94</v>
      </c>
      <c r="K519" s="92">
        <f>'LABOR SHEET'!C$3</f>
        <v>36</v>
      </c>
      <c r="L519" s="93">
        <f t="shared" ref="L519:L520" si="727">I519*K519</f>
        <v>3.6</v>
      </c>
      <c r="M519" s="93">
        <f t="shared" ref="M519:M520" si="728">K519*J519</f>
        <v>1005.84</v>
      </c>
      <c r="N519" s="93">
        <v>8</v>
      </c>
      <c r="O519" s="93">
        <f t="shared" ref="O519:O520" si="729">N519*G519</f>
        <v>2235.1999999999998</v>
      </c>
      <c r="P519" s="93">
        <f t="shared" ref="P519:P520" si="730">(I519*K519)+N519</f>
        <v>11.6</v>
      </c>
      <c r="Q519" s="112">
        <f t="shared" ref="Q519:Q520" si="731">P519*G519</f>
        <v>3241.04</v>
      </c>
    </row>
    <row r="520" spans="1:36" s="31" customFormat="1">
      <c r="A520" s="55">
        <f>IF(F520&lt;&gt;"",1+MAX($A$2:A519),"")</f>
        <v>375</v>
      </c>
      <c r="B520" s="174"/>
      <c r="C520" s="125"/>
      <c r="D520" s="155" t="s">
        <v>373</v>
      </c>
      <c r="E520" s="156">
        <v>276</v>
      </c>
      <c r="F520" s="124">
        <v>0.1</v>
      </c>
      <c r="G520" s="64">
        <f t="shared" si="719"/>
        <v>303.60000000000002</v>
      </c>
      <c r="H520" s="125" t="s">
        <v>67</v>
      </c>
      <c r="I520" s="90">
        <v>0.128</v>
      </c>
      <c r="J520" s="91">
        <f t="shared" si="726"/>
        <v>38.860799999999998</v>
      </c>
      <c r="K520" s="92">
        <f>'LABOR SHEET'!C$12</f>
        <v>28</v>
      </c>
      <c r="L520" s="93">
        <f t="shared" si="727"/>
        <v>3.5840000000000001</v>
      </c>
      <c r="M520" s="93">
        <f t="shared" si="728"/>
        <v>1088.1024</v>
      </c>
      <c r="N520" s="93">
        <v>16.5</v>
      </c>
      <c r="O520" s="93">
        <f t="shared" si="729"/>
        <v>5009.3999999999996</v>
      </c>
      <c r="P520" s="93">
        <f t="shared" si="730"/>
        <v>20.084</v>
      </c>
      <c r="Q520" s="112">
        <f t="shared" si="731"/>
        <v>6097.5024000000003</v>
      </c>
    </row>
    <row r="521" spans="1:36" s="31" customFormat="1">
      <c r="A521" s="55" t="str">
        <f>IF(F521&lt;&gt;"",1+MAX($A$2:A520),"")</f>
        <v/>
      </c>
      <c r="B521" s="174"/>
      <c r="C521" s="125"/>
      <c r="D521" s="57"/>
      <c r="E521" s="58"/>
      <c r="F521" s="124"/>
      <c r="G521" s="145"/>
      <c r="H521" s="125"/>
      <c r="I521" s="90"/>
      <c r="J521" s="91"/>
      <c r="K521" s="92"/>
      <c r="L521" s="93"/>
      <c r="M521" s="93"/>
      <c r="N521" s="93"/>
      <c r="O521" s="93"/>
      <c r="P521" s="93"/>
      <c r="Q521" s="111"/>
    </row>
    <row r="522" spans="1:36" s="31" customFormat="1">
      <c r="A522" s="55" t="str">
        <f>IF(F522&lt;&gt;"",1+MAX($A$2:A521),"")</f>
        <v/>
      </c>
      <c r="B522" s="174"/>
      <c r="C522" s="60"/>
      <c r="D522" s="143" t="s">
        <v>374</v>
      </c>
      <c r="E522" s="173"/>
      <c r="F522" s="173"/>
      <c r="G522" s="173"/>
      <c r="H522" s="173"/>
      <c r="I522" s="90"/>
      <c r="J522" s="125"/>
      <c r="K522" s="125"/>
      <c r="L522" s="93"/>
      <c r="M522" s="93"/>
      <c r="N522" s="93"/>
      <c r="O522" s="93"/>
      <c r="P522" s="93"/>
      <c r="Q522" s="111"/>
      <c r="R522" s="195"/>
      <c r="S522" s="195"/>
      <c r="T522" s="195"/>
      <c r="U522" s="195"/>
      <c r="V522" s="195"/>
      <c r="W522" s="195"/>
      <c r="X522" s="195"/>
      <c r="Y522" s="195"/>
      <c r="Z522" s="195"/>
      <c r="AA522" s="195"/>
      <c r="AB522" s="195"/>
      <c r="AC522" s="195"/>
      <c r="AD522" s="195"/>
      <c r="AE522" s="195"/>
      <c r="AF522" s="195"/>
      <c r="AG522" s="195"/>
      <c r="AH522" s="195"/>
      <c r="AI522" s="195"/>
      <c r="AJ522" s="195"/>
    </row>
    <row r="523" spans="1:36" s="31" customFormat="1">
      <c r="A523" s="55">
        <f>IF(F523&lt;&gt;"",1+MAX($A$2:A522),"")</f>
        <v>376</v>
      </c>
      <c r="B523" s="174"/>
      <c r="C523" s="125"/>
      <c r="D523" s="155" t="s">
        <v>375</v>
      </c>
      <c r="E523" s="156">
        <v>11783</v>
      </c>
      <c r="F523" s="124">
        <v>0.1</v>
      </c>
      <c r="G523" s="64">
        <f t="shared" ref="G523:G535" si="732">(F523*E523)+E523</f>
        <v>12961.3</v>
      </c>
      <c r="H523" s="58" t="s">
        <v>67</v>
      </c>
      <c r="I523" s="90">
        <v>0.1</v>
      </c>
      <c r="J523" s="91">
        <f t="shared" ref="J523:J535" si="733">+I523*G523</f>
        <v>1296.1300000000001</v>
      </c>
      <c r="K523" s="92">
        <f>'LABOR SHEET'!C$12</f>
        <v>28</v>
      </c>
      <c r="L523" s="93">
        <f t="shared" ref="L523:L535" si="734">I523*K523</f>
        <v>2.8</v>
      </c>
      <c r="M523" s="93">
        <f t="shared" ref="M523:M535" si="735">K523*J523</f>
        <v>36291.64</v>
      </c>
      <c r="N523" s="93">
        <v>6</v>
      </c>
      <c r="O523" s="93">
        <f t="shared" ref="O523:O535" si="736">N523*G523</f>
        <v>77767.8</v>
      </c>
      <c r="P523" s="93">
        <f t="shared" ref="P523:P535" si="737">(I523*K523)+N523</f>
        <v>8.8000000000000007</v>
      </c>
      <c r="Q523" s="112">
        <f t="shared" ref="Q523:Q535" si="738">P523*G523</f>
        <v>114059.44</v>
      </c>
    </row>
    <row r="524" spans="1:36" s="31" customFormat="1">
      <c r="A524" s="55">
        <f>IF(F524&lt;&gt;"",1+MAX($A$2:A523),"")</f>
        <v>377</v>
      </c>
      <c r="B524" s="174"/>
      <c r="C524" s="125"/>
      <c r="D524" s="155" t="s">
        <v>376</v>
      </c>
      <c r="E524" s="156">
        <v>479.91</v>
      </c>
      <c r="F524" s="124">
        <v>0.1</v>
      </c>
      <c r="G524" s="64">
        <f t="shared" si="732"/>
        <v>527.90099999999995</v>
      </c>
      <c r="H524" s="58" t="s">
        <v>67</v>
      </c>
      <c r="I524" s="90">
        <v>4.5999999999999999E-2</v>
      </c>
      <c r="J524" s="91">
        <f t="shared" si="733"/>
        <v>24.283446000000001</v>
      </c>
      <c r="K524" s="92">
        <f>'LABOR SHEET'!C$3</f>
        <v>36</v>
      </c>
      <c r="L524" s="93">
        <f t="shared" si="734"/>
        <v>1.6559999999999999</v>
      </c>
      <c r="M524" s="93">
        <f t="shared" si="735"/>
        <v>874.20405600000004</v>
      </c>
      <c r="N524" s="93">
        <v>3.03</v>
      </c>
      <c r="O524" s="93">
        <f t="shared" si="736"/>
        <v>1599.5400299999999</v>
      </c>
      <c r="P524" s="93">
        <f t="shared" si="737"/>
        <v>4.6859999999999999</v>
      </c>
      <c r="Q524" s="112">
        <f t="shared" si="738"/>
        <v>2473.7440860000002</v>
      </c>
    </row>
    <row r="525" spans="1:36" s="31" customFormat="1">
      <c r="A525" s="55">
        <f>IF(F525&lt;&gt;"",1+MAX($A$2:A524),"")</f>
        <v>378</v>
      </c>
      <c r="B525" s="174"/>
      <c r="C525" s="125"/>
      <c r="D525" s="155" t="s">
        <v>377</v>
      </c>
      <c r="E525" s="156">
        <v>990.35</v>
      </c>
      <c r="F525" s="124">
        <v>0.05</v>
      </c>
      <c r="G525" s="64">
        <f t="shared" si="732"/>
        <v>1039.8675000000001</v>
      </c>
      <c r="H525" s="58" t="s">
        <v>119</v>
      </c>
      <c r="I525" s="90">
        <v>3.5999999999999997E-2</v>
      </c>
      <c r="J525" s="91">
        <f t="shared" si="733"/>
        <v>37.435229999999997</v>
      </c>
      <c r="K525" s="92">
        <f>'LABOR SHEET'!C$3</f>
        <v>36</v>
      </c>
      <c r="L525" s="93">
        <f t="shared" si="734"/>
        <v>1.296</v>
      </c>
      <c r="M525" s="93">
        <f t="shared" si="735"/>
        <v>1347.6682800000001</v>
      </c>
      <c r="N525" s="93">
        <v>2.02</v>
      </c>
      <c r="O525" s="93">
        <f t="shared" si="736"/>
        <v>2100.53235</v>
      </c>
      <c r="P525" s="93">
        <f t="shared" si="737"/>
        <v>3.3159999999999998</v>
      </c>
      <c r="Q525" s="112">
        <f t="shared" si="738"/>
        <v>3448.2006299999998</v>
      </c>
    </row>
    <row r="526" spans="1:36" s="31" customFormat="1">
      <c r="A526" s="55">
        <f>IF(F526&lt;&gt;"",1+MAX($A$2:A525),"")</f>
        <v>379</v>
      </c>
      <c r="B526" s="174"/>
      <c r="C526" s="125"/>
      <c r="D526" s="155" t="s">
        <v>378</v>
      </c>
      <c r="E526" s="156">
        <v>990</v>
      </c>
      <c r="F526" s="124">
        <v>0.05</v>
      </c>
      <c r="G526" s="64">
        <f t="shared" si="732"/>
        <v>1039.5</v>
      </c>
      <c r="H526" s="58" t="s">
        <v>119</v>
      </c>
      <c r="I526" s="90">
        <v>4.2000000000000003E-2</v>
      </c>
      <c r="J526" s="91">
        <f t="shared" si="733"/>
        <v>43.658999999999999</v>
      </c>
      <c r="K526" s="92">
        <f>'LABOR SHEET'!C$3</f>
        <v>36</v>
      </c>
      <c r="L526" s="93">
        <f t="shared" si="734"/>
        <v>1.512</v>
      </c>
      <c r="M526" s="93">
        <f t="shared" si="735"/>
        <v>1571.7239999999999</v>
      </c>
      <c r="N526" s="93">
        <v>3</v>
      </c>
      <c r="O526" s="93">
        <f t="shared" si="736"/>
        <v>3118.5</v>
      </c>
      <c r="P526" s="93">
        <f t="shared" si="737"/>
        <v>4.5119999999999996</v>
      </c>
      <c r="Q526" s="112">
        <f t="shared" si="738"/>
        <v>4690.2240000000002</v>
      </c>
    </row>
    <row r="527" spans="1:36" s="31" customFormat="1">
      <c r="A527" s="55">
        <f>IF(F527&lt;&gt;"",1+MAX($A$2:A526),"")</f>
        <v>380</v>
      </c>
      <c r="B527" s="174"/>
      <c r="C527" s="125"/>
      <c r="D527" s="155" t="s">
        <v>379</v>
      </c>
      <c r="E527" s="156">
        <v>127.53</v>
      </c>
      <c r="F527" s="124">
        <v>0.05</v>
      </c>
      <c r="G527" s="64">
        <f t="shared" si="732"/>
        <v>133.90649999999999</v>
      </c>
      <c r="H527" s="58" t="s">
        <v>119</v>
      </c>
      <c r="I527" s="90">
        <v>3.6999999999999998E-2</v>
      </c>
      <c r="J527" s="91">
        <f t="shared" si="733"/>
        <v>4.9545405000000002</v>
      </c>
      <c r="K527" s="92">
        <f>'LABOR SHEET'!C$3</f>
        <v>36</v>
      </c>
      <c r="L527" s="93">
        <f t="shared" si="734"/>
        <v>1.3320000000000001</v>
      </c>
      <c r="M527" s="93">
        <f t="shared" si="735"/>
        <v>178.36345800000001</v>
      </c>
      <c r="N527" s="93">
        <v>2.6</v>
      </c>
      <c r="O527" s="93">
        <f t="shared" si="736"/>
        <v>348.15690000000001</v>
      </c>
      <c r="P527" s="93">
        <f t="shared" si="737"/>
        <v>3.9319999999999999</v>
      </c>
      <c r="Q527" s="112">
        <f t="shared" si="738"/>
        <v>526.52035799999999</v>
      </c>
    </row>
    <row r="528" spans="1:36" s="31" customFormat="1">
      <c r="A528" s="55">
        <f>IF(F528&lt;&gt;"",1+MAX($A$2:A527),"")</f>
        <v>381</v>
      </c>
      <c r="B528" s="174"/>
      <c r="C528" s="125"/>
      <c r="D528" s="155" t="s">
        <v>380</v>
      </c>
      <c r="E528" s="156">
        <v>900.67</v>
      </c>
      <c r="F528" s="124">
        <v>0.05</v>
      </c>
      <c r="G528" s="64">
        <f t="shared" si="732"/>
        <v>945.70349999999996</v>
      </c>
      <c r="H528" s="125" t="s">
        <v>119</v>
      </c>
      <c r="I528" s="90">
        <v>4.2000000000000003E-2</v>
      </c>
      <c r="J528" s="91">
        <f t="shared" si="733"/>
        <v>39.719546999999999</v>
      </c>
      <c r="K528" s="92">
        <f>'LABOR SHEET'!C$3</f>
        <v>36</v>
      </c>
      <c r="L528" s="93">
        <f t="shared" si="734"/>
        <v>1.512</v>
      </c>
      <c r="M528" s="93">
        <f t="shared" si="735"/>
        <v>1429.9036920000001</v>
      </c>
      <c r="N528" s="93">
        <v>3</v>
      </c>
      <c r="O528" s="93">
        <f t="shared" si="736"/>
        <v>2837.1104999999998</v>
      </c>
      <c r="P528" s="93">
        <f t="shared" si="737"/>
        <v>4.5119999999999996</v>
      </c>
      <c r="Q528" s="112">
        <f t="shared" si="738"/>
        <v>4267.0141919999996</v>
      </c>
    </row>
    <row r="529" spans="1:36" s="31" customFormat="1">
      <c r="A529" s="55">
        <f>IF(F529&lt;&gt;"",1+MAX($A$2:A528),"")</f>
        <v>382</v>
      </c>
      <c r="B529" s="174"/>
      <c r="C529" s="125"/>
      <c r="D529" s="155" t="s">
        <v>381</v>
      </c>
      <c r="E529" s="156">
        <v>322.07</v>
      </c>
      <c r="F529" s="124">
        <v>0.05</v>
      </c>
      <c r="G529" s="64">
        <f t="shared" si="732"/>
        <v>338.17349999999999</v>
      </c>
      <c r="H529" s="125" t="s">
        <v>119</v>
      </c>
      <c r="I529" s="90">
        <v>0.16800000000000001</v>
      </c>
      <c r="J529" s="91">
        <f t="shared" si="733"/>
        <v>56.813147999999998</v>
      </c>
      <c r="K529" s="92">
        <f>'LABOR SHEET'!C$12</f>
        <v>28</v>
      </c>
      <c r="L529" s="93">
        <f t="shared" si="734"/>
        <v>4.7039999999999997</v>
      </c>
      <c r="M529" s="93">
        <f t="shared" si="735"/>
        <v>1590.7681439999999</v>
      </c>
      <c r="N529" s="93">
        <v>22</v>
      </c>
      <c r="O529" s="93">
        <f t="shared" si="736"/>
        <v>7439.817</v>
      </c>
      <c r="P529" s="93">
        <f t="shared" si="737"/>
        <v>26.704000000000001</v>
      </c>
      <c r="Q529" s="112">
        <f t="shared" si="738"/>
        <v>9030.5851440000006</v>
      </c>
    </row>
    <row r="530" spans="1:36" s="31" customFormat="1">
      <c r="A530" s="55">
        <f>IF(F530&lt;&gt;"",1+MAX($A$2:A529),"")</f>
        <v>383</v>
      </c>
      <c r="B530" s="174"/>
      <c r="C530" s="125"/>
      <c r="D530" s="155" t="s">
        <v>382</v>
      </c>
      <c r="E530" s="156">
        <v>322</v>
      </c>
      <c r="F530" s="124">
        <v>0.1</v>
      </c>
      <c r="G530" s="64">
        <f t="shared" si="732"/>
        <v>354.2</v>
      </c>
      <c r="H530" s="58" t="s">
        <v>67</v>
      </c>
      <c r="I530" s="90">
        <v>6.9000000000000006E-2</v>
      </c>
      <c r="J530" s="91">
        <f t="shared" si="733"/>
        <v>24.439800000000002</v>
      </c>
      <c r="K530" s="92">
        <f>'LABOR SHEET'!C$3</f>
        <v>36</v>
      </c>
      <c r="L530" s="93">
        <f t="shared" si="734"/>
        <v>2.484</v>
      </c>
      <c r="M530" s="93">
        <f t="shared" si="735"/>
        <v>879.83280000000002</v>
      </c>
      <c r="N530" s="93">
        <v>4.66</v>
      </c>
      <c r="O530" s="93">
        <f t="shared" si="736"/>
        <v>1650.5719999999999</v>
      </c>
      <c r="P530" s="93">
        <f t="shared" si="737"/>
        <v>7.1440000000000001</v>
      </c>
      <c r="Q530" s="112">
        <f t="shared" si="738"/>
        <v>2530.4047999999998</v>
      </c>
    </row>
    <row r="531" spans="1:36" s="31" customFormat="1">
      <c r="A531" s="55">
        <f>IF(F531&lt;&gt;"",1+MAX($A$2:A530),"")</f>
        <v>384</v>
      </c>
      <c r="B531" s="174"/>
      <c r="C531" s="125"/>
      <c r="D531" s="155" t="s">
        <v>383</v>
      </c>
      <c r="E531" s="156">
        <v>132.33000000000001</v>
      </c>
      <c r="F531" s="124">
        <v>0.1</v>
      </c>
      <c r="G531" s="64">
        <f t="shared" si="732"/>
        <v>145.56299999999999</v>
      </c>
      <c r="H531" s="58" t="s">
        <v>67</v>
      </c>
      <c r="I531" s="90">
        <v>0.1</v>
      </c>
      <c r="J531" s="91">
        <f t="shared" si="733"/>
        <v>14.5563</v>
      </c>
      <c r="K531" s="92">
        <f>'LABOR SHEET'!C$3</f>
        <v>36</v>
      </c>
      <c r="L531" s="93">
        <f t="shared" si="734"/>
        <v>3.6</v>
      </c>
      <c r="M531" s="93">
        <f t="shared" si="735"/>
        <v>524.02679999999998</v>
      </c>
      <c r="N531" s="93">
        <v>6.6</v>
      </c>
      <c r="O531" s="93">
        <f t="shared" si="736"/>
        <v>960.71579999999994</v>
      </c>
      <c r="P531" s="93">
        <f t="shared" si="737"/>
        <v>10.199999999999999</v>
      </c>
      <c r="Q531" s="112">
        <f t="shared" si="738"/>
        <v>1484.7426</v>
      </c>
    </row>
    <row r="532" spans="1:36" s="31" customFormat="1">
      <c r="A532" s="55">
        <f>IF(F532&lt;&gt;"",1+MAX($A$2:A531),"")</f>
        <v>385</v>
      </c>
      <c r="B532" s="174"/>
      <c r="C532" s="125"/>
      <c r="D532" s="155" t="s">
        <v>384</v>
      </c>
      <c r="E532" s="156">
        <v>41.11</v>
      </c>
      <c r="F532" s="124">
        <v>0.1</v>
      </c>
      <c r="G532" s="64">
        <f t="shared" si="732"/>
        <v>45.220999999999997</v>
      </c>
      <c r="H532" s="58" t="s">
        <v>67</v>
      </c>
      <c r="I532" s="90">
        <v>0.11</v>
      </c>
      <c r="J532" s="91">
        <f t="shared" si="733"/>
        <v>4.97431</v>
      </c>
      <c r="K532" s="92">
        <f>'LABOR SHEET'!C$3</f>
        <v>36</v>
      </c>
      <c r="L532" s="93">
        <f t="shared" si="734"/>
        <v>3.96</v>
      </c>
      <c r="M532" s="93">
        <f t="shared" si="735"/>
        <v>179.07516000000001</v>
      </c>
      <c r="N532" s="93">
        <v>4.9800000000000004</v>
      </c>
      <c r="O532" s="93">
        <f t="shared" si="736"/>
        <v>225.20058</v>
      </c>
      <c r="P532" s="93">
        <f t="shared" si="737"/>
        <v>8.94</v>
      </c>
      <c r="Q532" s="112">
        <f t="shared" si="738"/>
        <v>404.27573999999998</v>
      </c>
    </row>
    <row r="533" spans="1:36" s="31" customFormat="1">
      <c r="A533" s="55">
        <f>IF(F533&lt;&gt;"",1+MAX($A$2:A532),"")</f>
        <v>386</v>
      </c>
      <c r="B533" s="174"/>
      <c r="C533" s="125"/>
      <c r="D533" s="155" t="s">
        <v>385</v>
      </c>
      <c r="E533" s="156">
        <v>778.47</v>
      </c>
      <c r="F533" s="124">
        <v>0.05</v>
      </c>
      <c r="G533" s="64">
        <f t="shared" si="732"/>
        <v>817.39350000000002</v>
      </c>
      <c r="H533" s="58" t="s">
        <v>119</v>
      </c>
      <c r="I533" s="90">
        <v>0.128</v>
      </c>
      <c r="J533" s="91">
        <f t="shared" si="733"/>
        <v>104.626368</v>
      </c>
      <c r="K533" s="92">
        <f>'LABOR SHEET'!C$12</f>
        <v>28</v>
      </c>
      <c r="L533" s="93">
        <f t="shared" si="734"/>
        <v>3.5840000000000001</v>
      </c>
      <c r="M533" s="93">
        <f t="shared" si="735"/>
        <v>2929.5383040000002</v>
      </c>
      <c r="N533" s="93">
        <v>12.6</v>
      </c>
      <c r="O533" s="93">
        <f t="shared" si="736"/>
        <v>10299.158100000001</v>
      </c>
      <c r="P533" s="93">
        <f t="shared" si="737"/>
        <v>16.184000000000001</v>
      </c>
      <c r="Q533" s="112">
        <f t="shared" si="738"/>
        <v>13228.696404</v>
      </c>
    </row>
    <row r="534" spans="1:36" s="31" customFormat="1">
      <c r="A534" s="55">
        <f>IF(F534&lt;&gt;"",1+MAX($A$2:A533),"")</f>
        <v>387</v>
      </c>
      <c r="B534" s="174"/>
      <c r="C534" s="125"/>
      <c r="D534" s="155" t="s">
        <v>386</v>
      </c>
      <c r="E534" s="156">
        <v>6.03</v>
      </c>
      <c r="F534" s="124">
        <v>0.05</v>
      </c>
      <c r="G534" s="64">
        <f t="shared" si="732"/>
        <v>6.3315000000000001</v>
      </c>
      <c r="H534" s="58" t="s">
        <v>119</v>
      </c>
      <c r="I534" s="90">
        <v>0.6</v>
      </c>
      <c r="J534" s="91">
        <f t="shared" si="733"/>
        <v>3.7989000000000002</v>
      </c>
      <c r="K534" s="92">
        <f>'LABOR SHEET'!C$12</f>
        <v>28</v>
      </c>
      <c r="L534" s="93">
        <f t="shared" si="734"/>
        <v>16.8</v>
      </c>
      <c r="M534" s="93">
        <f t="shared" si="735"/>
        <v>106.36920000000001</v>
      </c>
      <c r="N534" s="93">
        <v>100</v>
      </c>
      <c r="O534" s="93">
        <f t="shared" si="736"/>
        <v>633.15</v>
      </c>
      <c r="P534" s="93">
        <f t="shared" si="737"/>
        <v>116.8</v>
      </c>
      <c r="Q534" s="112">
        <f t="shared" si="738"/>
        <v>739.51919999999996</v>
      </c>
    </row>
    <row r="535" spans="1:36" s="31" customFormat="1">
      <c r="A535" s="55">
        <f>IF(F535&lt;&gt;"",1+MAX($A$2:A534),"")</f>
        <v>388</v>
      </c>
      <c r="B535" s="174"/>
      <c r="C535" s="125"/>
      <c r="D535" s="155" t="s">
        <v>387</v>
      </c>
      <c r="E535" s="159">
        <v>460</v>
      </c>
      <c r="F535" s="124">
        <v>0.05</v>
      </c>
      <c r="G535" s="64">
        <f t="shared" si="732"/>
        <v>483</v>
      </c>
      <c r="H535" s="196" t="s">
        <v>67</v>
      </c>
      <c r="I535" s="90">
        <v>0.06</v>
      </c>
      <c r="J535" s="91">
        <f t="shared" si="733"/>
        <v>28.98</v>
      </c>
      <c r="K535" s="92">
        <f>'LABOR SHEET'!C$12</f>
        <v>28</v>
      </c>
      <c r="L535" s="93">
        <f t="shared" si="734"/>
        <v>1.68</v>
      </c>
      <c r="M535" s="93">
        <f t="shared" si="735"/>
        <v>811.44</v>
      </c>
      <c r="N535" s="93">
        <v>2.88</v>
      </c>
      <c r="O535" s="93">
        <f t="shared" si="736"/>
        <v>1391.04</v>
      </c>
      <c r="P535" s="93">
        <f t="shared" si="737"/>
        <v>4.5599999999999996</v>
      </c>
      <c r="Q535" s="112">
        <f t="shared" si="738"/>
        <v>2202.48</v>
      </c>
    </row>
    <row r="536" spans="1:36" s="31" customFormat="1">
      <c r="A536" s="55" t="str">
        <f>IF(F536&lt;&gt;"",1+MAX($A$2:A535),"")</f>
        <v/>
      </c>
      <c r="B536" s="174"/>
      <c r="C536" s="125"/>
      <c r="D536" s="144"/>
      <c r="E536" s="148"/>
      <c r="F536" s="124"/>
      <c r="G536" s="145"/>
      <c r="H536" s="125"/>
      <c r="I536" s="90"/>
      <c r="J536" s="91"/>
      <c r="K536" s="92"/>
      <c r="L536" s="93"/>
      <c r="M536" s="93"/>
      <c r="N536" s="93"/>
      <c r="O536" s="93"/>
      <c r="P536" s="93"/>
      <c r="Q536" s="111"/>
    </row>
    <row r="537" spans="1:36" s="31" customFormat="1">
      <c r="A537" s="55" t="str">
        <f>IF(F537&lt;&gt;"",1+MAX($A$2:A536),"")</f>
        <v/>
      </c>
      <c r="B537" s="174"/>
      <c r="C537" s="60"/>
      <c r="D537" s="143" t="s">
        <v>388</v>
      </c>
      <c r="E537" s="173"/>
      <c r="F537" s="173"/>
      <c r="G537" s="173"/>
      <c r="H537" s="173"/>
      <c r="I537" s="90"/>
      <c r="J537" s="125"/>
      <c r="K537" s="125"/>
      <c r="L537" s="93"/>
      <c r="M537" s="93"/>
      <c r="N537" s="93"/>
      <c r="O537" s="93"/>
      <c r="P537" s="93"/>
      <c r="Q537" s="111"/>
      <c r="R537" s="195"/>
      <c r="S537" s="195"/>
      <c r="T537" s="195"/>
      <c r="U537" s="195"/>
      <c r="V537" s="195"/>
      <c r="W537" s="195"/>
      <c r="X537" s="195"/>
      <c r="Y537" s="195"/>
      <c r="Z537" s="195"/>
      <c r="AA537" s="195"/>
      <c r="AB537" s="195"/>
      <c r="AC537" s="195"/>
      <c r="AD537" s="195"/>
      <c r="AE537" s="195"/>
      <c r="AF537" s="195"/>
      <c r="AG537" s="195"/>
      <c r="AH537" s="195"/>
      <c r="AI537" s="195"/>
      <c r="AJ537" s="195"/>
    </row>
    <row r="538" spans="1:36" s="31" customFormat="1">
      <c r="A538" s="55">
        <f>IF(F538&lt;&gt;"",1+MAX($A$2:A537),"")</f>
        <v>389</v>
      </c>
      <c r="B538" s="174"/>
      <c r="C538" s="125"/>
      <c r="D538" s="155" t="s">
        <v>389</v>
      </c>
      <c r="E538" s="159">
        <v>1</v>
      </c>
      <c r="F538" s="124">
        <v>0</v>
      </c>
      <c r="G538" s="64">
        <f t="shared" ref="G538:G580" si="739">(F538*E538)+E538</f>
        <v>1</v>
      </c>
      <c r="H538" s="125" t="s">
        <v>124</v>
      </c>
      <c r="I538" s="90">
        <f>0.052*14.34*10</f>
        <v>7.4568000000000003</v>
      </c>
      <c r="J538" s="91">
        <f t="shared" ref="J538:J580" si="740">+I538*G538</f>
        <v>7.4568000000000003</v>
      </c>
      <c r="K538" s="92">
        <f>'LABOR SHEET'!C$10</f>
        <v>26.5</v>
      </c>
      <c r="L538" s="93">
        <f t="shared" ref="L538:L580" si="741">I538*K538</f>
        <v>197.6052</v>
      </c>
      <c r="M538" s="93">
        <f t="shared" ref="M538:M580" si="742">K538*J538</f>
        <v>197.6052</v>
      </c>
      <c r="N538" s="93">
        <f>0.6*14.34*10*2+20</f>
        <v>192.08</v>
      </c>
      <c r="O538" s="93">
        <f t="shared" ref="O538:O580" si="743">N538*G538</f>
        <v>192.08</v>
      </c>
      <c r="P538" s="93">
        <f t="shared" ref="P538:P580" si="744">(I538*K538)+N538</f>
        <v>389.68520000000001</v>
      </c>
      <c r="Q538" s="112">
        <f t="shared" ref="Q538:Q580" si="745">P538*G538</f>
        <v>389.68520000000001</v>
      </c>
    </row>
    <row r="539" spans="1:36" s="31" customFormat="1">
      <c r="A539" s="55">
        <f>IF(F539&lt;&gt;"",1+MAX($A$2:A538),"")</f>
        <v>390</v>
      </c>
      <c r="B539" s="174"/>
      <c r="C539" s="125"/>
      <c r="D539" s="155" t="s">
        <v>390</v>
      </c>
      <c r="E539" s="159">
        <v>1</v>
      </c>
      <c r="F539" s="124">
        <v>0</v>
      </c>
      <c r="G539" s="64">
        <f t="shared" si="739"/>
        <v>1</v>
      </c>
      <c r="H539" s="125" t="s">
        <v>124</v>
      </c>
      <c r="I539" s="90">
        <f>0.052*14.34*8</f>
        <v>5.9654400000000001</v>
      </c>
      <c r="J539" s="91">
        <f t="shared" si="740"/>
        <v>5.9654400000000001</v>
      </c>
      <c r="K539" s="92">
        <f>'LABOR SHEET'!C$10</f>
        <v>26.5</v>
      </c>
      <c r="L539" s="93">
        <f t="shared" si="741"/>
        <v>158.08416</v>
      </c>
      <c r="M539" s="93">
        <f t="shared" si="742"/>
        <v>158.08416</v>
      </c>
      <c r="N539" s="93">
        <f>0.6*14.34*8*2+10</f>
        <v>147.66399999999999</v>
      </c>
      <c r="O539" s="93">
        <f t="shared" si="743"/>
        <v>147.66399999999999</v>
      </c>
      <c r="P539" s="93">
        <f t="shared" si="744"/>
        <v>305.74815999999998</v>
      </c>
      <c r="Q539" s="112">
        <f t="shared" si="745"/>
        <v>305.74815999999998</v>
      </c>
    </row>
    <row r="540" spans="1:36" s="31" customFormat="1" ht="31">
      <c r="A540" s="55">
        <f>IF(F540&lt;&gt;"",1+MAX($A$2:A539),"")</f>
        <v>391</v>
      </c>
      <c r="B540" s="174"/>
      <c r="C540" s="125"/>
      <c r="D540" s="155" t="s">
        <v>391</v>
      </c>
      <c r="E540" s="159">
        <v>1</v>
      </c>
      <c r="F540" s="124">
        <v>0</v>
      </c>
      <c r="G540" s="64">
        <f t="shared" si="739"/>
        <v>1</v>
      </c>
      <c r="H540" s="125" t="s">
        <v>124</v>
      </c>
      <c r="I540" s="90">
        <f>0.052*7*10</f>
        <v>3.64</v>
      </c>
      <c r="J540" s="91">
        <f t="shared" si="740"/>
        <v>3.64</v>
      </c>
      <c r="K540" s="92">
        <f>'LABOR SHEET'!C$10</f>
        <v>26.5</v>
      </c>
      <c r="L540" s="93">
        <f t="shared" si="741"/>
        <v>96.46</v>
      </c>
      <c r="M540" s="93">
        <f t="shared" si="742"/>
        <v>96.46</v>
      </c>
      <c r="N540" s="93">
        <f>0.6*7*10*2+10</f>
        <v>94</v>
      </c>
      <c r="O540" s="93">
        <f t="shared" si="743"/>
        <v>94</v>
      </c>
      <c r="P540" s="93">
        <f t="shared" si="744"/>
        <v>190.46</v>
      </c>
      <c r="Q540" s="112">
        <f t="shared" si="745"/>
        <v>190.46</v>
      </c>
    </row>
    <row r="541" spans="1:36" s="31" customFormat="1">
      <c r="A541" s="55">
        <f>IF(F541&lt;&gt;"",1+MAX($A$2:A540),"")</f>
        <v>392</v>
      </c>
      <c r="B541" s="174"/>
      <c r="C541" s="125"/>
      <c r="D541" s="155" t="s">
        <v>392</v>
      </c>
      <c r="E541" s="159">
        <v>1</v>
      </c>
      <c r="F541" s="124">
        <v>0</v>
      </c>
      <c r="G541" s="64">
        <f t="shared" si="739"/>
        <v>1</v>
      </c>
      <c r="H541" s="125" t="s">
        <v>124</v>
      </c>
      <c r="I541" s="90">
        <f>0.052*6*8</f>
        <v>2.496</v>
      </c>
      <c r="J541" s="91">
        <f t="shared" si="740"/>
        <v>2.496</v>
      </c>
      <c r="K541" s="92">
        <f>'LABOR SHEET'!C$10</f>
        <v>26.5</v>
      </c>
      <c r="L541" s="93">
        <f t="shared" si="741"/>
        <v>66.144000000000005</v>
      </c>
      <c r="M541" s="93">
        <f t="shared" si="742"/>
        <v>66.144000000000005</v>
      </c>
      <c r="N541" s="93">
        <f>0.6*6*8*2+10</f>
        <v>67.599999999999994</v>
      </c>
      <c r="O541" s="93">
        <f t="shared" si="743"/>
        <v>67.599999999999994</v>
      </c>
      <c r="P541" s="93">
        <f t="shared" si="744"/>
        <v>133.744</v>
      </c>
      <c r="Q541" s="112">
        <f t="shared" si="745"/>
        <v>133.744</v>
      </c>
    </row>
    <row r="542" spans="1:36" s="31" customFormat="1">
      <c r="A542" s="55">
        <f>IF(F542&lt;&gt;"",1+MAX($A$2:A541),"")</f>
        <v>393</v>
      </c>
      <c r="B542" s="174"/>
      <c r="C542" s="125"/>
      <c r="D542" s="155" t="s">
        <v>393</v>
      </c>
      <c r="E542" s="159">
        <v>1</v>
      </c>
      <c r="F542" s="124">
        <v>0</v>
      </c>
      <c r="G542" s="64">
        <f t="shared" si="739"/>
        <v>1</v>
      </c>
      <c r="H542" s="125" t="s">
        <v>124</v>
      </c>
      <c r="I542" s="90">
        <f>0.052*6*8</f>
        <v>2.496</v>
      </c>
      <c r="J542" s="91">
        <f t="shared" si="740"/>
        <v>2.496</v>
      </c>
      <c r="K542" s="92">
        <f>'LABOR SHEET'!C$10</f>
        <v>26.5</v>
      </c>
      <c r="L542" s="93">
        <f t="shared" si="741"/>
        <v>66.144000000000005</v>
      </c>
      <c r="M542" s="93">
        <f t="shared" si="742"/>
        <v>66.144000000000005</v>
      </c>
      <c r="N542" s="93">
        <f>0.6*6*8*2+10</f>
        <v>67.599999999999994</v>
      </c>
      <c r="O542" s="93">
        <f t="shared" si="743"/>
        <v>67.599999999999994</v>
      </c>
      <c r="P542" s="93">
        <f t="shared" si="744"/>
        <v>133.744</v>
      </c>
      <c r="Q542" s="112">
        <f t="shared" si="745"/>
        <v>133.744</v>
      </c>
    </row>
    <row r="543" spans="1:36" s="31" customFormat="1">
      <c r="A543" s="55">
        <f>IF(F543&lt;&gt;"",1+MAX($A$2:A542),"")</f>
        <v>394</v>
      </c>
      <c r="B543" s="174"/>
      <c r="C543" s="125"/>
      <c r="D543" s="155" t="s">
        <v>394</v>
      </c>
      <c r="E543" s="159">
        <v>1</v>
      </c>
      <c r="F543" s="124">
        <v>0</v>
      </c>
      <c r="G543" s="64">
        <f t="shared" si="739"/>
        <v>1</v>
      </c>
      <c r="H543" s="125" t="s">
        <v>124</v>
      </c>
      <c r="I543" s="90">
        <f>0.052*3*8</f>
        <v>1.248</v>
      </c>
      <c r="J543" s="91">
        <f t="shared" si="740"/>
        <v>1.248</v>
      </c>
      <c r="K543" s="92">
        <f>'LABOR SHEET'!C$10</f>
        <v>26.5</v>
      </c>
      <c r="L543" s="93">
        <f t="shared" si="741"/>
        <v>33.072000000000003</v>
      </c>
      <c r="M543" s="93">
        <f t="shared" si="742"/>
        <v>33.072000000000003</v>
      </c>
      <c r="N543" s="93">
        <f>0.6*3*8*2+10</f>
        <v>38.799999999999997</v>
      </c>
      <c r="O543" s="93">
        <f t="shared" si="743"/>
        <v>38.799999999999997</v>
      </c>
      <c r="P543" s="93">
        <f t="shared" si="744"/>
        <v>71.872</v>
      </c>
      <c r="Q543" s="112">
        <f t="shared" si="745"/>
        <v>71.872</v>
      </c>
    </row>
    <row r="544" spans="1:36" s="31" customFormat="1">
      <c r="A544" s="55">
        <f>IF(F544&lt;&gt;"",1+MAX($A$2:A543),"")</f>
        <v>395</v>
      </c>
      <c r="B544" s="174"/>
      <c r="C544" s="125"/>
      <c r="D544" s="155" t="s">
        <v>395</v>
      </c>
      <c r="E544" s="159">
        <v>2</v>
      </c>
      <c r="F544" s="124">
        <v>0</v>
      </c>
      <c r="G544" s="64">
        <f t="shared" si="739"/>
        <v>2</v>
      </c>
      <c r="H544" s="125" t="s">
        <v>124</v>
      </c>
      <c r="I544" s="90">
        <f>0.052*3*8</f>
        <v>1.248</v>
      </c>
      <c r="J544" s="91">
        <f t="shared" si="740"/>
        <v>2.496</v>
      </c>
      <c r="K544" s="92">
        <f>'LABOR SHEET'!C$10</f>
        <v>26.5</v>
      </c>
      <c r="L544" s="93">
        <f t="shared" si="741"/>
        <v>33.072000000000003</v>
      </c>
      <c r="M544" s="93">
        <f t="shared" si="742"/>
        <v>66.144000000000005</v>
      </c>
      <c r="N544" s="93">
        <f>0.6*3*8*2+10</f>
        <v>38.799999999999997</v>
      </c>
      <c r="O544" s="93">
        <f t="shared" si="743"/>
        <v>77.599999999999994</v>
      </c>
      <c r="P544" s="93">
        <f t="shared" si="744"/>
        <v>71.872</v>
      </c>
      <c r="Q544" s="112">
        <f t="shared" si="745"/>
        <v>143.744</v>
      </c>
    </row>
    <row r="545" spans="1:17" s="31" customFormat="1">
      <c r="A545" s="55">
        <f>IF(F545&lt;&gt;"",1+MAX($A$2:A544),"")</f>
        <v>396</v>
      </c>
      <c r="B545" s="174"/>
      <c r="C545" s="125"/>
      <c r="D545" s="155" t="s">
        <v>396</v>
      </c>
      <c r="E545" s="159">
        <v>1</v>
      </c>
      <c r="F545" s="124">
        <v>0</v>
      </c>
      <c r="G545" s="64">
        <f t="shared" si="739"/>
        <v>1</v>
      </c>
      <c r="H545" s="125" t="s">
        <v>124</v>
      </c>
      <c r="I545" s="90">
        <f>0.052*3*8</f>
        <v>1.248</v>
      </c>
      <c r="J545" s="91">
        <f t="shared" si="740"/>
        <v>1.248</v>
      </c>
      <c r="K545" s="92">
        <f>'LABOR SHEET'!C$10</f>
        <v>26.5</v>
      </c>
      <c r="L545" s="93">
        <f t="shared" si="741"/>
        <v>33.072000000000003</v>
      </c>
      <c r="M545" s="93">
        <f t="shared" si="742"/>
        <v>33.072000000000003</v>
      </c>
      <c r="N545" s="93">
        <f>0.6*3*8*2+10</f>
        <v>38.799999999999997</v>
      </c>
      <c r="O545" s="93">
        <f t="shared" si="743"/>
        <v>38.799999999999997</v>
      </c>
      <c r="P545" s="93">
        <f t="shared" si="744"/>
        <v>71.872</v>
      </c>
      <c r="Q545" s="112">
        <f t="shared" si="745"/>
        <v>71.872</v>
      </c>
    </row>
    <row r="546" spans="1:17" s="31" customFormat="1">
      <c r="A546" s="55">
        <f>IF(F546&lt;&gt;"",1+MAX($A$2:A545),"")</f>
        <v>397</v>
      </c>
      <c r="B546" s="174"/>
      <c r="C546" s="125"/>
      <c r="D546" s="155" t="s">
        <v>397</v>
      </c>
      <c r="E546" s="159">
        <v>1</v>
      </c>
      <c r="F546" s="124">
        <v>0</v>
      </c>
      <c r="G546" s="64">
        <f t="shared" si="739"/>
        <v>1</v>
      </c>
      <c r="H546" s="125" t="s">
        <v>124</v>
      </c>
      <c r="I546" s="90">
        <f>0.052*2.67*8</f>
        <v>1.1107199999999999</v>
      </c>
      <c r="J546" s="91">
        <f t="shared" si="740"/>
        <v>1.1107199999999999</v>
      </c>
      <c r="K546" s="92">
        <f>'LABOR SHEET'!C$10</f>
        <v>26.5</v>
      </c>
      <c r="L546" s="93">
        <f t="shared" si="741"/>
        <v>29.434080000000002</v>
      </c>
      <c r="M546" s="93">
        <f t="shared" si="742"/>
        <v>29.434080000000002</v>
      </c>
      <c r="N546" s="93">
        <f>0.6*2.67*8*2+10</f>
        <v>35.631999999999998</v>
      </c>
      <c r="O546" s="93">
        <f t="shared" si="743"/>
        <v>35.631999999999998</v>
      </c>
      <c r="P546" s="93">
        <f t="shared" si="744"/>
        <v>65.066079999999999</v>
      </c>
      <c r="Q546" s="112">
        <f t="shared" si="745"/>
        <v>65.066079999999999</v>
      </c>
    </row>
    <row r="547" spans="1:17" s="31" customFormat="1">
      <c r="A547" s="55">
        <f>IF(F547&lt;&gt;"",1+MAX($A$2:A546),"")</f>
        <v>398</v>
      </c>
      <c r="B547" s="174"/>
      <c r="C547" s="125"/>
      <c r="D547" s="155" t="s">
        <v>398</v>
      </c>
      <c r="E547" s="159">
        <v>4</v>
      </c>
      <c r="F547" s="124">
        <v>0</v>
      </c>
      <c r="G547" s="64">
        <f t="shared" si="739"/>
        <v>4</v>
      </c>
      <c r="H547" s="125" t="s">
        <v>124</v>
      </c>
      <c r="I547" s="90">
        <f>0.052*3*8</f>
        <v>1.248</v>
      </c>
      <c r="J547" s="91">
        <f t="shared" si="740"/>
        <v>4.992</v>
      </c>
      <c r="K547" s="92">
        <f>'LABOR SHEET'!C$10</f>
        <v>26.5</v>
      </c>
      <c r="L547" s="93">
        <f t="shared" si="741"/>
        <v>33.072000000000003</v>
      </c>
      <c r="M547" s="93">
        <f t="shared" si="742"/>
        <v>132.28800000000001</v>
      </c>
      <c r="N547" s="93">
        <f>0.6*3*8*2+10</f>
        <v>38.799999999999997</v>
      </c>
      <c r="O547" s="93">
        <f t="shared" si="743"/>
        <v>155.19999999999999</v>
      </c>
      <c r="P547" s="93">
        <f t="shared" si="744"/>
        <v>71.872</v>
      </c>
      <c r="Q547" s="112">
        <f t="shared" si="745"/>
        <v>287.488</v>
      </c>
    </row>
    <row r="548" spans="1:17" s="31" customFormat="1">
      <c r="A548" s="55">
        <f>IF(F548&lt;&gt;"",1+MAX($A$2:A547),"")</f>
        <v>399</v>
      </c>
      <c r="B548" s="174"/>
      <c r="C548" s="125"/>
      <c r="D548" s="155" t="s">
        <v>399</v>
      </c>
      <c r="E548" s="159">
        <v>1</v>
      </c>
      <c r="F548" s="124">
        <v>0</v>
      </c>
      <c r="G548" s="64">
        <f t="shared" si="739"/>
        <v>1</v>
      </c>
      <c r="H548" s="125" t="s">
        <v>124</v>
      </c>
      <c r="I548" s="90">
        <f>0.052*2.5*8</f>
        <v>1.04</v>
      </c>
      <c r="J548" s="91">
        <f t="shared" si="740"/>
        <v>1.04</v>
      </c>
      <c r="K548" s="92">
        <f>'LABOR SHEET'!C$10</f>
        <v>26.5</v>
      </c>
      <c r="L548" s="93">
        <f t="shared" si="741"/>
        <v>27.56</v>
      </c>
      <c r="M548" s="93">
        <f t="shared" si="742"/>
        <v>27.56</v>
      </c>
      <c r="N548" s="93">
        <f>0.6*2.5*8*2+10</f>
        <v>34</v>
      </c>
      <c r="O548" s="93">
        <f t="shared" si="743"/>
        <v>34</v>
      </c>
      <c r="P548" s="93">
        <f t="shared" si="744"/>
        <v>61.56</v>
      </c>
      <c r="Q548" s="112">
        <f t="shared" si="745"/>
        <v>61.56</v>
      </c>
    </row>
    <row r="549" spans="1:17" s="31" customFormat="1">
      <c r="A549" s="55">
        <f>IF(F549&lt;&gt;"",1+MAX($A$2:A548),"")</f>
        <v>400</v>
      </c>
      <c r="B549" s="174"/>
      <c r="C549" s="125"/>
      <c r="D549" s="155" t="s">
        <v>400</v>
      </c>
      <c r="E549" s="159">
        <v>1</v>
      </c>
      <c r="F549" s="124">
        <v>0</v>
      </c>
      <c r="G549" s="64">
        <f t="shared" si="739"/>
        <v>1</v>
      </c>
      <c r="H549" s="125" t="s">
        <v>124</v>
      </c>
      <c r="I549" s="90">
        <f>0.052*2.67*6.67</f>
        <v>0.92606279999999996</v>
      </c>
      <c r="J549" s="91">
        <f t="shared" si="740"/>
        <v>0.92606279999999996</v>
      </c>
      <c r="K549" s="92">
        <f>'LABOR SHEET'!C$10</f>
        <v>26.5</v>
      </c>
      <c r="L549" s="93">
        <f t="shared" si="741"/>
        <v>24.540664199999998</v>
      </c>
      <c r="M549" s="93">
        <f t="shared" si="742"/>
        <v>24.540664199999998</v>
      </c>
      <c r="N549" s="93">
        <f>0.6*2.67*6.67*2+10</f>
        <v>31.37068</v>
      </c>
      <c r="O549" s="93">
        <f t="shared" si="743"/>
        <v>31.37068</v>
      </c>
      <c r="P549" s="93">
        <f t="shared" si="744"/>
        <v>55.911344200000002</v>
      </c>
      <c r="Q549" s="112">
        <f t="shared" si="745"/>
        <v>55.911344200000002</v>
      </c>
    </row>
    <row r="550" spans="1:17" s="31" customFormat="1">
      <c r="A550" s="55">
        <f>IF(F550&lt;&gt;"",1+MAX($A$2:A549),"")</f>
        <v>401</v>
      </c>
      <c r="B550" s="174"/>
      <c r="C550" s="125"/>
      <c r="D550" s="155" t="s">
        <v>401</v>
      </c>
      <c r="E550" s="159">
        <v>1</v>
      </c>
      <c r="F550" s="124">
        <v>0</v>
      </c>
      <c r="G550" s="64">
        <f t="shared" si="739"/>
        <v>1</v>
      </c>
      <c r="H550" s="125" t="s">
        <v>124</v>
      </c>
      <c r="I550" s="90">
        <f>0.052*12*10</f>
        <v>6.24</v>
      </c>
      <c r="J550" s="91">
        <f t="shared" si="740"/>
        <v>6.24</v>
      </c>
      <c r="K550" s="92">
        <f>'LABOR SHEET'!C$10</f>
        <v>26.5</v>
      </c>
      <c r="L550" s="93">
        <f t="shared" si="741"/>
        <v>165.36</v>
      </c>
      <c r="M550" s="93">
        <f t="shared" si="742"/>
        <v>165.36</v>
      </c>
      <c r="N550" s="93">
        <f>0.6*12*10*2+10</f>
        <v>154</v>
      </c>
      <c r="O550" s="93">
        <f t="shared" si="743"/>
        <v>154</v>
      </c>
      <c r="P550" s="93">
        <f t="shared" si="744"/>
        <v>319.36</v>
      </c>
      <c r="Q550" s="112">
        <f t="shared" si="745"/>
        <v>319.36</v>
      </c>
    </row>
    <row r="551" spans="1:17" s="31" customFormat="1">
      <c r="A551" s="55">
        <f>IF(F551&lt;&gt;"",1+MAX($A$2:A550),"")</f>
        <v>402</v>
      </c>
      <c r="B551" s="174"/>
      <c r="C551" s="125"/>
      <c r="D551" s="155" t="s">
        <v>402</v>
      </c>
      <c r="E551" s="159">
        <v>1</v>
      </c>
      <c r="F551" s="124">
        <v>0</v>
      </c>
      <c r="G551" s="64">
        <f t="shared" si="739"/>
        <v>1</v>
      </c>
      <c r="H551" s="125" t="s">
        <v>124</v>
      </c>
      <c r="I551" s="90">
        <f>0.052*5*6.67</f>
        <v>1.7342</v>
      </c>
      <c r="J551" s="91">
        <f t="shared" si="740"/>
        <v>1.7342</v>
      </c>
      <c r="K551" s="92">
        <f>'LABOR SHEET'!C$10</f>
        <v>26.5</v>
      </c>
      <c r="L551" s="93">
        <f t="shared" si="741"/>
        <v>45.956299999999999</v>
      </c>
      <c r="M551" s="93">
        <f t="shared" si="742"/>
        <v>45.956299999999999</v>
      </c>
      <c r="N551" s="93">
        <f>0.6*5*6.67*2+10</f>
        <v>50.02</v>
      </c>
      <c r="O551" s="93">
        <f t="shared" si="743"/>
        <v>50.02</v>
      </c>
      <c r="P551" s="93">
        <f t="shared" si="744"/>
        <v>95.976299999999995</v>
      </c>
      <c r="Q551" s="112">
        <f t="shared" si="745"/>
        <v>95.976299999999995</v>
      </c>
    </row>
    <row r="552" spans="1:17" s="31" customFormat="1">
      <c r="A552" s="55">
        <f>IF(F552&lt;&gt;"",1+MAX($A$2:A551),"")</f>
        <v>403</v>
      </c>
      <c r="B552" s="174"/>
      <c r="C552" s="125"/>
      <c r="D552" s="155" t="s">
        <v>403</v>
      </c>
      <c r="E552" s="159">
        <v>2</v>
      </c>
      <c r="F552" s="124">
        <v>0</v>
      </c>
      <c r="G552" s="64">
        <f t="shared" si="739"/>
        <v>2</v>
      </c>
      <c r="H552" s="125" t="s">
        <v>124</v>
      </c>
      <c r="I552" s="90">
        <f>0.052*4*6.67</f>
        <v>1.3873599999999999</v>
      </c>
      <c r="J552" s="91">
        <f t="shared" si="740"/>
        <v>2.7747199999999999</v>
      </c>
      <c r="K552" s="92">
        <f>'LABOR SHEET'!C$10</f>
        <v>26.5</v>
      </c>
      <c r="L552" s="93">
        <f t="shared" si="741"/>
        <v>36.765039999999999</v>
      </c>
      <c r="M552" s="93">
        <f t="shared" si="742"/>
        <v>73.530079999999998</v>
      </c>
      <c r="N552" s="93">
        <f>0.6*4*6.67*2+10</f>
        <v>42.015999999999998</v>
      </c>
      <c r="O552" s="93">
        <f t="shared" si="743"/>
        <v>84.031999999999996</v>
      </c>
      <c r="P552" s="93">
        <f t="shared" si="744"/>
        <v>78.781040000000004</v>
      </c>
      <c r="Q552" s="112">
        <f t="shared" si="745"/>
        <v>157.56208000000001</v>
      </c>
    </row>
    <row r="553" spans="1:17" s="31" customFormat="1">
      <c r="A553" s="55">
        <f>IF(F553&lt;&gt;"",1+MAX($A$2:A552),"")</f>
        <v>404</v>
      </c>
      <c r="B553" s="174"/>
      <c r="C553" s="125"/>
      <c r="D553" s="155" t="s">
        <v>404</v>
      </c>
      <c r="E553" s="159">
        <v>1</v>
      </c>
      <c r="F553" s="124">
        <v>0</v>
      </c>
      <c r="G553" s="64">
        <f t="shared" si="739"/>
        <v>1</v>
      </c>
      <c r="H553" s="125" t="s">
        <v>124</v>
      </c>
      <c r="I553" s="90">
        <f>0.052*4*6.67</f>
        <v>1.3873599999999999</v>
      </c>
      <c r="J553" s="91">
        <f t="shared" si="740"/>
        <v>1.3873599999999999</v>
      </c>
      <c r="K553" s="92">
        <f>'LABOR SHEET'!C$10</f>
        <v>26.5</v>
      </c>
      <c r="L553" s="93">
        <f t="shared" si="741"/>
        <v>36.765039999999999</v>
      </c>
      <c r="M553" s="93">
        <f t="shared" si="742"/>
        <v>36.765039999999999</v>
      </c>
      <c r="N553" s="93">
        <f>0.6*4*6.67*2+10</f>
        <v>42.015999999999998</v>
      </c>
      <c r="O553" s="93">
        <f t="shared" si="743"/>
        <v>42.015999999999998</v>
      </c>
      <c r="P553" s="93">
        <f t="shared" si="744"/>
        <v>78.781040000000004</v>
      </c>
      <c r="Q553" s="112">
        <f t="shared" si="745"/>
        <v>78.781040000000004</v>
      </c>
    </row>
    <row r="554" spans="1:17" s="31" customFormat="1">
      <c r="A554" s="55">
        <f>IF(F554&lt;&gt;"",1+MAX($A$2:A553),"")</f>
        <v>405</v>
      </c>
      <c r="B554" s="174"/>
      <c r="C554" s="125"/>
      <c r="D554" s="155" t="s">
        <v>405</v>
      </c>
      <c r="E554" s="159">
        <v>5</v>
      </c>
      <c r="F554" s="124">
        <v>0</v>
      </c>
      <c r="G554" s="64">
        <f t="shared" si="739"/>
        <v>5</v>
      </c>
      <c r="H554" s="125" t="s">
        <v>124</v>
      </c>
      <c r="I554" s="90">
        <f>0.052*3*6.67</f>
        <v>1.0405199999999999</v>
      </c>
      <c r="J554" s="91">
        <f t="shared" si="740"/>
        <v>5.2026000000000003</v>
      </c>
      <c r="K554" s="92">
        <f>'LABOR SHEET'!C$10</f>
        <v>26.5</v>
      </c>
      <c r="L554" s="93">
        <f t="shared" si="741"/>
        <v>27.573779999999999</v>
      </c>
      <c r="M554" s="93">
        <f t="shared" si="742"/>
        <v>137.8689</v>
      </c>
      <c r="N554" s="93">
        <f>0.6*3*6.67*2+10</f>
        <v>34.012</v>
      </c>
      <c r="O554" s="93">
        <f t="shared" si="743"/>
        <v>170.06</v>
      </c>
      <c r="P554" s="93">
        <f t="shared" si="744"/>
        <v>61.58578</v>
      </c>
      <c r="Q554" s="112">
        <f t="shared" si="745"/>
        <v>307.9289</v>
      </c>
    </row>
    <row r="555" spans="1:17" s="31" customFormat="1">
      <c r="A555" s="55">
        <f>IF(F555&lt;&gt;"",1+MAX($A$2:A554),"")</f>
        <v>406</v>
      </c>
      <c r="B555" s="174"/>
      <c r="C555" s="125"/>
      <c r="D555" s="155" t="s">
        <v>406</v>
      </c>
      <c r="E555" s="159">
        <v>7</v>
      </c>
      <c r="F555" s="124">
        <v>0</v>
      </c>
      <c r="G555" s="64">
        <f t="shared" si="739"/>
        <v>7</v>
      </c>
      <c r="H555" s="125" t="s">
        <v>124</v>
      </c>
      <c r="I555" s="90">
        <f>0.052*2.67*6.67</f>
        <v>0.92606279999999996</v>
      </c>
      <c r="J555" s="91">
        <f t="shared" si="740"/>
        <v>6.4824396000000002</v>
      </c>
      <c r="K555" s="92">
        <f>'LABOR SHEET'!C$10</f>
        <v>26.5</v>
      </c>
      <c r="L555" s="93">
        <f t="shared" si="741"/>
        <v>24.540664199999998</v>
      </c>
      <c r="M555" s="93">
        <f t="shared" si="742"/>
        <v>171.78464940000001</v>
      </c>
      <c r="N555" s="93">
        <f>0.6*2.67*6.67*2+10</f>
        <v>31.37068</v>
      </c>
      <c r="O555" s="93">
        <f t="shared" si="743"/>
        <v>219.59476000000001</v>
      </c>
      <c r="P555" s="93">
        <f t="shared" si="744"/>
        <v>55.911344200000002</v>
      </c>
      <c r="Q555" s="112">
        <f t="shared" si="745"/>
        <v>391.37940939999999</v>
      </c>
    </row>
    <row r="556" spans="1:17" s="31" customFormat="1">
      <c r="A556" s="55">
        <f>IF(F556&lt;&gt;"",1+MAX($A$2:A555),"")</f>
        <v>407</v>
      </c>
      <c r="B556" s="174"/>
      <c r="C556" s="125"/>
      <c r="D556" s="155" t="s">
        <v>407</v>
      </c>
      <c r="E556" s="159">
        <v>10</v>
      </c>
      <c r="F556" s="124">
        <v>0</v>
      </c>
      <c r="G556" s="64">
        <f t="shared" si="739"/>
        <v>10</v>
      </c>
      <c r="H556" s="125" t="s">
        <v>124</v>
      </c>
      <c r="I556" s="90">
        <f>0.052*2.5*6.67</f>
        <v>0.86709999999999998</v>
      </c>
      <c r="J556" s="91">
        <f t="shared" si="740"/>
        <v>8.6709999999999994</v>
      </c>
      <c r="K556" s="92">
        <f>'LABOR SHEET'!C$10</f>
        <v>26.5</v>
      </c>
      <c r="L556" s="93">
        <f t="shared" si="741"/>
        <v>22.978149999999999</v>
      </c>
      <c r="M556" s="93">
        <f t="shared" si="742"/>
        <v>229.78149999999999</v>
      </c>
      <c r="N556" s="93">
        <f>0.6*2.5*6.67*2+10</f>
        <v>30.01</v>
      </c>
      <c r="O556" s="93">
        <f t="shared" si="743"/>
        <v>300.10000000000002</v>
      </c>
      <c r="P556" s="93">
        <f t="shared" si="744"/>
        <v>52.988149999999997</v>
      </c>
      <c r="Q556" s="112">
        <f t="shared" si="745"/>
        <v>529.88149999999996</v>
      </c>
    </row>
    <row r="557" spans="1:17" s="31" customFormat="1">
      <c r="A557" s="55">
        <f>IF(F557&lt;&gt;"",1+MAX($A$2:A556),"")</f>
        <v>408</v>
      </c>
      <c r="B557" s="174"/>
      <c r="C557" s="125"/>
      <c r="D557" s="155" t="s">
        <v>408</v>
      </c>
      <c r="E557" s="159">
        <v>6</v>
      </c>
      <c r="F557" s="124">
        <v>0</v>
      </c>
      <c r="G557" s="64">
        <f t="shared" si="739"/>
        <v>6</v>
      </c>
      <c r="H557" s="125" t="s">
        <v>124</v>
      </c>
      <c r="I557" s="90">
        <f>0.052*2.34*6.67</f>
        <v>0.81160560000000004</v>
      </c>
      <c r="J557" s="91">
        <f t="shared" si="740"/>
        <v>4.8696336000000002</v>
      </c>
      <c r="K557" s="92">
        <f>'LABOR SHEET'!C$10</f>
        <v>26.5</v>
      </c>
      <c r="L557" s="93">
        <f t="shared" si="741"/>
        <v>21.507548400000001</v>
      </c>
      <c r="M557" s="93">
        <f t="shared" si="742"/>
        <v>129.0452904</v>
      </c>
      <c r="N557" s="93">
        <f>0.6*2.34*6.67*2+10</f>
        <v>28.72936</v>
      </c>
      <c r="O557" s="93">
        <f t="shared" si="743"/>
        <v>172.37616</v>
      </c>
      <c r="P557" s="93">
        <f t="shared" si="744"/>
        <v>50.236908399999997</v>
      </c>
      <c r="Q557" s="112">
        <f t="shared" si="745"/>
        <v>301.42145040000003</v>
      </c>
    </row>
    <row r="558" spans="1:17" s="31" customFormat="1">
      <c r="A558" s="55">
        <f>IF(F558&lt;&gt;"",1+MAX($A$2:A557),"")</f>
        <v>409</v>
      </c>
      <c r="B558" s="174"/>
      <c r="C558" s="125"/>
      <c r="D558" s="155" t="s">
        <v>409</v>
      </c>
      <c r="E558" s="159">
        <v>2</v>
      </c>
      <c r="F558" s="124">
        <v>0</v>
      </c>
      <c r="G558" s="64">
        <f t="shared" si="739"/>
        <v>2</v>
      </c>
      <c r="H558" s="125" t="s">
        <v>124</v>
      </c>
      <c r="I558" s="90">
        <f>0.052*2*6.67</f>
        <v>0.69367999999999996</v>
      </c>
      <c r="J558" s="91">
        <f t="shared" si="740"/>
        <v>1.3873599999999999</v>
      </c>
      <c r="K558" s="92">
        <f>'LABOR SHEET'!C$10</f>
        <v>26.5</v>
      </c>
      <c r="L558" s="93">
        <f t="shared" si="741"/>
        <v>18.38252</v>
      </c>
      <c r="M558" s="93">
        <f t="shared" si="742"/>
        <v>36.765039999999999</v>
      </c>
      <c r="N558" s="93">
        <f>0.6*2*6.67*2+10</f>
        <v>26.007999999999999</v>
      </c>
      <c r="O558" s="93">
        <f t="shared" si="743"/>
        <v>52.015999999999998</v>
      </c>
      <c r="P558" s="93">
        <f t="shared" si="744"/>
        <v>44.390520000000002</v>
      </c>
      <c r="Q558" s="112">
        <f t="shared" si="745"/>
        <v>88.781040000000004</v>
      </c>
    </row>
    <row r="559" spans="1:17" s="31" customFormat="1">
      <c r="A559" s="55">
        <f>IF(F559&lt;&gt;"",1+MAX($A$2:A558),"")</f>
        <v>410</v>
      </c>
      <c r="B559" s="174"/>
      <c r="C559" s="125"/>
      <c r="D559" s="155" t="s">
        <v>410</v>
      </c>
      <c r="E559" s="159">
        <v>1</v>
      </c>
      <c r="F559" s="124">
        <v>0</v>
      </c>
      <c r="G559" s="64">
        <f t="shared" si="739"/>
        <v>1</v>
      </c>
      <c r="H559" s="125" t="s">
        <v>124</v>
      </c>
      <c r="I559" s="90">
        <f>0.052*3*6.67</f>
        <v>1.0405199999999999</v>
      </c>
      <c r="J559" s="91">
        <f t="shared" si="740"/>
        <v>1.0405199999999999</v>
      </c>
      <c r="K559" s="92">
        <f>'LABOR SHEET'!C$10</f>
        <v>26.5</v>
      </c>
      <c r="L559" s="93">
        <f t="shared" si="741"/>
        <v>27.573779999999999</v>
      </c>
      <c r="M559" s="93">
        <f t="shared" si="742"/>
        <v>27.573779999999999</v>
      </c>
      <c r="N559" s="93">
        <f>0.6*3*6.67*2+10</f>
        <v>34.012</v>
      </c>
      <c r="O559" s="93">
        <f t="shared" si="743"/>
        <v>34.012</v>
      </c>
      <c r="P559" s="93">
        <f t="shared" si="744"/>
        <v>61.58578</v>
      </c>
      <c r="Q559" s="112">
        <f t="shared" si="745"/>
        <v>61.58578</v>
      </c>
    </row>
    <row r="560" spans="1:17" s="31" customFormat="1">
      <c r="A560" s="55">
        <f>IF(F560&lt;&gt;"",1+MAX($A$2:A559),"")</f>
        <v>411</v>
      </c>
      <c r="B560" s="174"/>
      <c r="C560" s="125"/>
      <c r="D560" s="155" t="s">
        <v>411</v>
      </c>
      <c r="E560" s="159">
        <v>1</v>
      </c>
      <c r="F560" s="124">
        <v>0</v>
      </c>
      <c r="G560" s="64">
        <f t="shared" si="739"/>
        <v>1</v>
      </c>
      <c r="H560" s="125" t="s">
        <v>124</v>
      </c>
      <c r="I560" s="90">
        <f>0.052*2.5*6.67</f>
        <v>0.86709999999999998</v>
      </c>
      <c r="J560" s="91">
        <f t="shared" si="740"/>
        <v>0.86709999999999998</v>
      </c>
      <c r="K560" s="92">
        <f>'LABOR SHEET'!C$10</f>
        <v>26.5</v>
      </c>
      <c r="L560" s="93">
        <f t="shared" si="741"/>
        <v>22.978149999999999</v>
      </c>
      <c r="M560" s="93">
        <f t="shared" si="742"/>
        <v>22.978149999999999</v>
      </c>
      <c r="N560" s="93">
        <f>0.6*2.5*6.67*2+10</f>
        <v>30.01</v>
      </c>
      <c r="O560" s="93">
        <f t="shared" si="743"/>
        <v>30.01</v>
      </c>
      <c r="P560" s="93">
        <f t="shared" si="744"/>
        <v>52.988149999999997</v>
      </c>
      <c r="Q560" s="112">
        <f t="shared" si="745"/>
        <v>52.988149999999997</v>
      </c>
    </row>
    <row r="561" spans="1:17" s="31" customFormat="1">
      <c r="A561" s="55">
        <f>IF(F561&lt;&gt;"",1+MAX($A$2:A560),"")</f>
        <v>412</v>
      </c>
      <c r="B561" s="174"/>
      <c r="C561" s="125"/>
      <c r="D561" s="155" t="s">
        <v>412</v>
      </c>
      <c r="E561" s="159">
        <v>8</v>
      </c>
      <c r="F561" s="124">
        <v>0</v>
      </c>
      <c r="G561" s="64">
        <f t="shared" si="739"/>
        <v>8</v>
      </c>
      <c r="H561" s="125" t="s">
        <v>124</v>
      </c>
      <c r="I561" s="90">
        <f>0.052*2.67*6.67</f>
        <v>0.92606279999999996</v>
      </c>
      <c r="J561" s="91">
        <f t="shared" si="740"/>
        <v>7.4085023999999997</v>
      </c>
      <c r="K561" s="92">
        <f>'LABOR SHEET'!C$10</f>
        <v>26.5</v>
      </c>
      <c r="L561" s="93">
        <f t="shared" si="741"/>
        <v>24.540664199999998</v>
      </c>
      <c r="M561" s="93">
        <f t="shared" si="742"/>
        <v>196.32531359999999</v>
      </c>
      <c r="N561" s="93">
        <f>0.6*2.67*6.67*2+10</f>
        <v>31.37068</v>
      </c>
      <c r="O561" s="93">
        <f t="shared" si="743"/>
        <v>250.96544</v>
      </c>
      <c r="P561" s="93">
        <f t="shared" si="744"/>
        <v>55.911344200000002</v>
      </c>
      <c r="Q561" s="112">
        <f t="shared" si="745"/>
        <v>447.29075360000002</v>
      </c>
    </row>
    <row r="562" spans="1:17" s="31" customFormat="1">
      <c r="A562" s="55">
        <f>IF(F562&lt;&gt;"",1+MAX($A$2:A561),"")</f>
        <v>413</v>
      </c>
      <c r="B562" s="174"/>
      <c r="C562" s="125"/>
      <c r="D562" s="155" t="s">
        <v>413</v>
      </c>
      <c r="E562" s="159">
        <v>1</v>
      </c>
      <c r="F562" s="124">
        <v>0</v>
      </c>
      <c r="G562" s="64">
        <f t="shared" si="739"/>
        <v>1</v>
      </c>
      <c r="H562" s="125" t="s">
        <v>124</v>
      </c>
      <c r="I562" s="90">
        <f>0.052*4*6.67</f>
        <v>1.3873599999999999</v>
      </c>
      <c r="J562" s="91">
        <f t="shared" si="740"/>
        <v>1.3873599999999999</v>
      </c>
      <c r="K562" s="92">
        <f>'LABOR SHEET'!C$10</f>
        <v>26.5</v>
      </c>
      <c r="L562" s="93">
        <f t="shared" si="741"/>
        <v>36.765039999999999</v>
      </c>
      <c r="M562" s="93">
        <f t="shared" si="742"/>
        <v>36.765039999999999</v>
      </c>
      <c r="N562" s="93">
        <f>0.6*4*6.67*2+10</f>
        <v>42.015999999999998</v>
      </c>
      <c r="O562" s="93">
        <f t="shared" si="743"/>
        <v>42.015999999999998</v>
      </c>
      <c r="P562" s="93">
        <f t="shared" si="744"/>
        <v>78.781040000000004</v>
      </c>
      <c r="Q562" s="112">
        <f t="shared" si="745"/>
        <v>78.781040000000004</v>
      </c>
    </row>
    <row r="563" spans="1:17" s="31" customFormat="1">
      <c r="A563" s="55">
        <f>IF(F563&lt;&gt;"",1+MAX($A$2:A562),"")</f>
        <v>414</v>
      </c>
      <c r="B563" s="174"/>
      <c r="C563" s="125"/>
      <c r="D563" s="155" t="s">
        <v>414</v>
      </c>
      <c r="E563" s="159">
        <v>1</v>
      </c>
      <c r="F563" s="124">
        <v>0</v>
      </c>
      <c r="G563" s="64">
        <f t="shared" si="739"/>
        <v>1</v>
      </c>
      <c r="H563" s="125" t="s">
        <v>124</v>
      </c>
      <c r="I563" s="90">
        <f>0.052*4*6.67</f>
        <v>1.3873599999999999</v>
      </c>
      <c r="J563" s="91">
        <f t="shared" si="740"/>
        <v>1.3873599999999999</v>
      </c>
      <c r="K563" s="92">
        <f>'LABOR SHEET'!C$10</f>
        <v>26.5</v>
      </c>
      <c r="L563" s="93">
        <f t="shared" si="741"/>
        <v>36.765039999999999</v>
      </c>
      <c r="M563" s="93">
        <f t="shared" si="742"/>
        <v>36.765039999999999</v>
      </c>
      <c r="N563" s="93">
        <f>0.6*4*6.67*2+10</f>
        <v>42.015999999999998</v>
      </c>
      <c r="O563" s="93">
        <f t="shared" si="743"/>
        <v>42.015999999999998</v>
      </c>
      <c r="P563" s="93">
        <f t="shared" si="744"/>
        <v>78.781040000000004</v>
      </c>
      <c r="Q563" s="112">
        <f t="shared" si="745"/>
        <v>78.781040000000004</v>
      </c>
    </row>
    <row r="564" spans="1:17" s="31" customFormat="1">
      <c r="A564" s="55">
        <f>IF(F564&lt;&gt;"",1+MAX($A$2:A563),"")</f>
        <v>415</v>
      </c>
      <c r="B564" s="174"/>
      <c r="C564" s="125"/>
      <c r="D564" s="155" t="s">
        <v>415</v>
      </c>
      <c r="E564" s="159">
        <v>4</v>
      </c>
      <c r="F564" s="124">
        <v>0</v>
      </c>
      <c r="G564" s="64">
        <f t="shared" si="739"/>
        <v>4</v>
      </c>
      <c r="H564" s="125" t="s">
        <v>124</v>
      </c>
      <c r="I564" s="90">
        <f>0.052*2.5*6.67</f>
        <v>0.86709999999999998</v>
      </c>
      <c r="J564" s="91">
        <f t="shared" si="740"/>
        <v>3.4683999999999999</v>
      </c>
      <c r="K564" s="92">
        <f>'LABOR SHEET'!C$10</f>
        <v>26.5</v>
      </c>
      <c r="L564" s="93">
        <f t="shared" si="741"/>
        <v>22.978149999999999</v>
      </c>
      <c r="M564" s="93">
        <f t="shared" si="742"/>
        <v>91.912599999999998</v>
      </c>
      <c r="N564" s="93">
        <f>0.6*2.5*6.67*2+10</f>
        <v>30.01</v>
      </c>
      <c r="O564" s="93">
        <f t="shared" si="743"/>
        <v>120.04</v>
      </c>
      <c r="P564" s="93">
        <f t="shared" si="744"/>
        <v>52.988149999999997</v>
      </c>
      <c r="Q564" s="112">
        <f t="shared" si="745"/>
        <v>211.95259999999999</v>
      </c>
    </row>
    <row r="565" spans="1:17" s="31" customFormat="1">
      <c r="A565" s="55">
        <f>IF(F565&lt;&gt;"",1+MAX($A$2:A564),"")</f>
        <v>416</v>
      </c>
      <c r="B565" s="174"/>
      <c r="C565" s="125"/>
      <c r="D565" s="155" t="s">
        <v>416</v>
      </c>
      <c r="E565" s="159">
        <v>2</v>
      </c>
      <c r="F565" s="124">
        <v>0</v>
      </c>
      <c r="G565" s="64">
        <f t="shared" si="739"/>
        <v>2</v>
      </c>
      <c r="H565" s="125" t="s">
        <v>124</v>
      </c>
      <c r="I565" s="90">
        <f>0.052*2.34*6.67</f>
        <v>0.81160560000000004</v>
      </c>
      <c r="J565" s="91">
        <f t="shared" si="740"/>
        <v>1.6232112000000001</v>
      </c>
      <c r="K565" s="92">
        <f>'LABOR SHEET'!C$10</f>
        <v>26.5</v>
      </c>
      <c r="L565" s="93">
        <f t="shared" si="741"/>
        <v>21.507548400000001</v>
      </c>
      <c r="M565" s="93">
        <f t="shared" si="742"/>
        <v>43.015096800000002</v>
      </c>
      <c r="N565" s="93">
        <f>0.6*2.34*6.67*2+10</f>
        <v>28.72936</v>
      </c>
      <c r="O565" s="93">
        <f t="shared" si="743"/>
        <v>57.45872</v>
      </c>
      <c r="P565" s="93">
        <f t="shared" si="744"/>
        <v>50.236908399999997</v>
      </c>
      <c r="Q565" s="112">
        <f t="shared" si="745"/>
        <v>100.47381679999999</v>
      </c>
    </row>
    <row r="566" spans="1:17" s="31" customFormat="1">
      <c r="A566" s="55">
        <f>IF(F566&lt;&gt;"",1+MAX($A$2:A565),"")</f>
        <v>417</v>
      </c>
      <c r="B566" s="174"/>
      <c r="C566" s="125"/>
      <c r="D566" s="155" t="s">
        <v>417</v>
      </c>
      <c r="E566" s="159">
        <v>6</v>
      </c>
      <c r="F566" s="124">
        <v>0</v>
      </c>
      <c r="G566" s="64">
        <f t="shared" si="739"/>
        <v>6</v>
      </c>
      <c r="H566" s="125" t="s">
        <v>124</v>
      </c>
      <c r="I566" s="90">
        <f>0.052*12*10</f>
        <v>6.24</v>
      </c>
      <c r="J566" s="91">
        <f t="shared" si="740"/>
        <v>37.44</v>
      </c>
      <c r="K566" s="92">
        <f>'LABOR SHEET'!C$10</f>
        <v>26.5</v>
      </c>
      <c r="L566" s="93">
        <f t="shared" si="741"/>
        <v>165.36</v>
      </c>
      <c r="M566" s="93">
        <f t="shared" si="742"/>
        <v>992.16</v>
      </c>
      <c r="N566" s="93">
        <f>0.6*12*10*2+10</f>
        <v>154</v>
      </c>
      <c r="O566" s="93">
        <f t="shared" si="743"/>
        <v>924</v>
      </c>
      <c r="P566" s="93">
        <f t="shared" si="744"/>
        <v>319.36</v>
      </c>
      <c r="Q566" s="112">
        <f t="shared" si="745"/>
        <v>1916.16</v>
      </c>
    </row>
    <row r="567" spans="1:17" s="31" customFormat="1">
      <c r="A567" s="55">
        <f>IF(F567&lt;&gt;"",1+MAX($A$2:A566),"")</f>
        <v>418</v>
      </c>
      <c r="B567" s="174"/>
      <c r="C567" s="125"/>
      <c r="D567" s="155" t="s">
        <v>418</v>
      </c>
      <c r="E567" s="156">
        <v>1324.73</v>
      </c>
      <c r="F567" s="124">
        <v>0.05</v>
      </c>
      <c r="G567" s="64">
        <f t="shared" si="739"/>
        <v>1390.9665</v>
      </c>
      <c r="H567" s="125" t="s">
        <v>119</v>
      </c>
      <c r="I567" s="90">
        <v>2.1999999999999999E-2</v>
      </c>
      <c r="J567" s="91">
        <f t="shared" si="740"/>
        <v>30.601262999999999</v>
      </c>
      <c r="K567" s="92">
        <f>'LABOR SHEET'!C$10</f>
        <v>26.5</v>
      </c>
      <c r="L567" s="93">
        <f t="shared" si="741"/>
        <v>0.58299999999999996</v>
      </c>
      <c r="M567" s="93">
        <f t="shared" si="742"/>
        <v>810.9334695</v>
      </c>
      <c r="N567" s="93">
        <v>1.4</v>
      </c>
      <c r="O567" s="93">
        <f t="shared" si="743"/>
        <v>1947.3531</v>
      </c>
      <c r="P567" s="93">
        <f t="shared" si="744"/>
        <v>1.9830000000000001</v>
      </c>
      <c r="Q567" s="112">
        <f t="shared" si="745"/>
        <v>2758.2865695</v>
      </c>
    </row>
    <row r="568" spans="1:17" s="31" customFormat="1">
      <c r="A568" s="55">
        <f>IF(F568&lt;&gt;"",1+MAX($A$2:A567),"")</f>
        <v>419</v>
      </c>
      <c r="B568" s="174"/>
      <c r="C568" s="125"/>
      <c r="D568" s="155" t="s">
        <v>419</v>
      </c>
      <c r="E568" s="156">
        <v>2143.1799999999998</v>
      </c>
      <c r="F568" s="124">
        <v>0.05</v>
      </c>
      <c r="G568" s="64">
        <f t="shared" si="739"/>
        <v>2250.3389999999999</v>
      </c>
      <c r="H568" s="125" t="s">
        <v>119</v>
      </c>
      <c r="I568" s="90">
        <v>2.1999999999999999E-2</v>
      </c>
      <c r="J568" s="91">
        <f t="shared" si="740"/>
        <v>49.507458</v>
      </c>
      <c r="K568" s="92">
        <f>'LABOR SHEET'!C$10</f>
        <v>26.5</v>
      </c>
      <c r="L568" s="93">
        <f t="shared" si="741"/>
        <v>0.58299999999999996</v>
      </c>
      <c r="M568" s="93">
        <f t="shared" si="742"/>
        <v>1311.947637</v>
      </c>
      <c r="N568" s="93">
        <v>1.4</v>
      </c>
      <c r="O568" s="93">
        <f t="shared" si="743"/>
        <v>3150.4746</v>
      </c>
      <c r="P568" s="93">
        <f t="shared" si="744"/>
        <v>1.9830000000000001</v>
      </c>
      <c r="Q568" s="112">
        <f t="shared" si="745"/>
        <v>4462.4222369999998</v>
      </c>
    </row>
    <row r="569" spans="1:17" s="31" customFormat="1">
      <c r="A569" s="55">
        <f>IF(F569&lt;&gt;"",1+MAX($A$2:A568),"")</f>
        <v>420</v>
      </c>
      <c r="B569" s="174"/>
      <c r="C569" s="125"/>
      <c r="D569" s="155" t="s">
        <v>420</v>
      </c>
      <c r="E569" s="156">
        <v>2802</v>
      </c>
      <c r="F569" s="124">
        <v>0.05</v>
      </c>
      <c r="G569" s="64">
        <f t="shared" si="739"/>
        <v>2942.1</v>
      </c>
      <c r="H569" s="125" t="s">
        <v>119</v>
      </c>
      <c r="I569" s="90">
        <v>0.02</v>
      </c>
      <c r="J569" s="91">
        <f t="shared" si="740"/>
        <v>58.841999999999999</v>
      </c>
      <c r="K569" s="92">
        <f>'LABOR SHEET'!C$10</f>
        <v>26.5</v>
      </c>
      <c r="L569" s="93">
        <f t="shared" si="741"/>
        <v>0.53</v>
      </c>
      <c r="M569" s="93">
        <f t="shared" si="742"/>
        <v>1559.3130000000001</v>
      </c>
      <c r="N569" s="93">
        <v>1.2</v>
      </c>
      <c r="O569" s="93">
        <f t="shared" si="743"/>
        <v>3530.52</v>
      </c>
      <c r="P569" s="93">
        <f t="shared" si="744"/>
        <v>1.73</v>
      </c>
      <c r="Q569" s="112">
        <f t="shared" si="745"/>
        <v>5089.8329999999996</v>
      </c>
    </row>
    <row r="570" spans="1:17" s="31" customFormat="1">
      <c r="A570" s="55">
        <f>IF(F570&lt;&gt;"",1+MAX($A$2:A569),"")</f>
        <v>421</v>
      </c>
      <c r="B570" s="174"/>
      <c r="C570" s="125"/>
      <c r="D570" s="155" t="s">
        <v>421</v>
      </c>
      <c r="E570" s="156">
        <v>2667</v>
      </c>
      <c r="F570" s="124">
        <v>0.05</v>
      </c>
      <c r="G570" s="64">
        <f t="shared" si="739"/>
        <v>2800.35</v>
      </c>
      <c r="H570" s="125" t="s">
        <v>119</v>
      </c>
      <c r="I570" s="90">
        <v>0.02</v>
      </c>
      <c r="J570" s="91">
        <f t="shared" si="740"/>
        <v>56.006999999999998</v>
      </c>
      <c r="K570" s="92">
        <f>'LABOR SHEET'!C$10</f>
        <v>26.5</v>
      </c>
      <c r="L570" s="93">
        <f t="shared" si="741"/>
        <v>0.53</v>
      </c>
      <c r="M570" s="93">
        <f t="shared" si="742"/>
        <v>1484.1855</v>
      </c>
      <c r="N570" s="93">
        <v>1.2</v>
      </c>
      <c r="O570" s="93">
        <f t="shared" si="743"/>
        <v>3360.42</v>
      </c>
      <c r="P570" s="93">
        <f t="shared" si="744"/>
        <v>1.73</v>
      </c>
      <c r="Q570" s="112">
        <f t="shared" si="745"/>
        <v>4844.6054999999997</v>
      </c>
    </row>
    <row r="571" spans="1:17" s="31" customFormat="1">
      <c r="A571" s="55">
        <f>IF(F571&lt;&gt;"",1+MAX($A$2:A570),"")</f>
        <v>422</v>
      </c>
      <c r="B571" s="174"/>
      <c r="C571" s="125"/>
      <c r="D571" s="155" t="s">
        <v>422</v>
      </c>
      <c r="E571" s="156">
        <v>11783</v>
      </c>
      <c r="F571" s="124">
        <v>0.1</v>
      </c>
      <c r="G571" s="64">
        <f t="shared" si="739"/>
        <v>12961.3</v>
      </c>
      <c r="H571" s="125" t="s">
        <v>67</v>
      </c>
      <c r="I571" s="90">
        <v>0.03</v>
      </c>
      <c r="J571" s="91">
        <f t="shared" si="740"/>
        <v>388.839</v>
      </c>
      <c r="K571" s="92">
        <f>'LABOR SHEET'!C$10</f>
        <v>26.5</v>
      </c>
      <c r="L571" s="93">
        <f t="shared" si="741"/>
        <v>0.79500000000000004</v>
      </c>
      <c r="M571" s="93">
        <f t="shared" si="742"/>
        <v>10304.2335</v>
      </c>
      <c r="N571" s="93">
        <v>0.6</v>
      </c>
      <c r="O571" s="93">
        <f t="shared" si="743"/>
        <v>7776.78</v>
      </c>
      <c r="P571" s="93">
        <f t="shared" si="744"/>
        <v>1.395</v>
      </c>
      <c r="Q571" s="112">
        <f t="shared" si="745"/>
        <v>18081.013500000001</v>
      </c>
    </row>
    <row r="572" spans="1:17" s="31" customFormat="1">
      <c r="A572" s="55">
        <f>IF(F572&lt;&gt;"",1+MAX($A$2:A571),"")</f>
        <v>423</v>
      </c>
      <c r="B572" s="174"/>
      <c r="C572" s="125"/>
      <c r="D572" s="155" t="s">
        <v>423</v>
      </c>
      <c r="E572" s="156">
        <v>479.91</v>
      </c>
      <c r="F572" s="124">
        <v>0.1</v>
      </c>
      <c r="G572" s="64">
        <f t="shared" si="739"/>
        <v>527.90099999999995</v>
      </c>
      <c r="H572" s="125" t="s">
        <v>67</v>
      </c>
      <c r="I572" s="90">
        <v>2.5999999999999999E-2</v>
      </c>
      <c r="J572" s="91">
        <f t="shared" si="740"/>
        <v>13.725426000000001</v>
      </c>
      <c r="K572" s="92">
        <f>'LABOR SHEET'!C$10</f>
        <v>26.5</v>
      </c>
      <c r="L572" s="93">
        <f t="shared" si="741"/>
        <v>0.68899999999999995</v>
      </c>
      <c r="M572" s="93">
        <f t="shared" si="742"/>
        <v>363.72378900000001</v>
      </c>
      <c r="N572" s="93">
        <v>0.55000000000000004</v>
      </c>
      <c r="O572" s="93">
        <f t="shared" si="743"/>
        <v>290.34555</v>
      </c>
      <c r="P572" s="93">
        <f t="shared" si="744"/>
        <v>1.2390000000000001</v>
      </c>
      <c r="Q572" s="112">
        <f t="shared" si="745"/>
        <v>654.06933900000001</v>
      </c>
    </row>
    <row r="573" spans="1:17" s="31" customFormat="1">
      <c r="A573" s="55">
        <f>IF(F573&lt;&gt;"",1+MAX($A$2:A572),"")</f>
        <v>424</v>
      </c>
      <c r="B573" s="174"/>
      <c r="C573" s="125"/>
      <c r="D573" s="155" t="s">
        <v>424</v>
      </c>
      <c r="E573" s="156">
        <v>990.35</v>
      </c>
      <c r="F573" s="124">
        <v>0.05</v>
      </c>
      <c r="G573" s="64">
        <f t="shared" si="739"/>
        <v>1039.8675000000001</v>
      </c>
      <c r="H573" s="125" t="s">
        <v>119</v>
      </c>
      <c r="I573" s="90">
        <v>2.1999999999999999E-2</v>
      </c>
      <c r="J573" s="91">
        <f t="shared" si="740"/>
        <v>22.877085000000001</v>
      </c>
      <c r="K573" s="92">
        <f>'LABOR SHEET'!C$10</f>
        <v>26.5</v>
      </c>
      <c r="L573" s="93">
        <f t="shared" si="741"/>
        <v>0.58299999999999996</v>
      </c>
      <c r="M573" s="93">
        <f t="shared" si="742"/>
        <v>606.24275250000005</v>
      </c>
      <c r="N573" s="93">
        <v>1</v>
      </c>
      <c r="O573" s="93">
        <f t="shared" si="743"/>
        <v>1039.8675000000001</v>
      </c>
      <c r="P573" s="93">
        <f t="shared" si="744"/>
        <v>1.583</v>
      </c>
      <c r="Q573" s="112">
        <f t="shared" si="745"/>
        <v>1646.1102524999999</v>
      </c>
    </row>
    <row r="574" spans="1:17" s="31" customFormat="1">
      <c r="A574" s="55">
        <f>IF(F574&lt;&gt;"",1+MAX($A$2:A573),"")</f>
        <v>425</v>
      </c>
      <c r="B574" s="174"/>
      <c r="C574" s="125"/>
      <c r="D574" s="155" t="s">
        <v>425</v>
      </c>
      <c r="E574" s="156">
        <v>990</v>
      </c>
      <c r="F574" s="124">
        <v>0.05</v>
      </c>
      <c r="G574" s="64">
        <f t="shared" si="739"/>
        <v>1039.5</v>
      </c>
      <c r="H574" s="125" t="s">
        <v>119</v>
      </c>
      <c r="I574" s="90">
        <v>2.5999999999999999E-2</v>
      </c>
      <c r="J574" s="91">
        <f t="shared" si="740"/>
        <v>27.027000000000001</v>
      </c>
      <c r="K574" s="92">
        <f>'LABOR SHEET'!C$10</f>
        <v>26.5</v>
      </c>
      <c r="L574" s="93">
        <f t="shared" si="741"/>
        <v>0.68899999999999995</v>
      </c>
      <c r="M574" s="93">
        <f t="shared" si="742"/>
        <v>716.21550000000002</v>
      </c>
      <c r="N574" s="93">
        <v>1.6</v>
      </c>
      <c r="O574" s="93">
        <f t="shared" si="743"/>
        <v>1663.2</v>
      </c>
      <c r="P574" s="93">
        <f t="shared" si="744"/>
        <v>2.2890000000000001</v>
      </c>
      <c r="Q574" s="112">
        <f t="shared" si="745"/>
        <v>2379.4155000000001</v>
      </c>
    </row>
    <row r="575" spans="1:17" s="31" customFormat="1">
      <c r="A575" s="55">
        <f>IF(F575&lt;&gt;"",1+MAX($A$2:A574),"")</f>
        <v>426</v>
      </c>
      <c r="B575" s="174"/>
      <c r="C575" s="125"/>
      <c r="D575" s="155" t="s">
        <v>426</v>
      </c>
      <c r="E575" s="156">
        <v>127.53</v>
      </c>
      <c r="F575" s="124">
        <v>0.05</v>
      </c>
      <c r="G575" s="64">
        <f t="shared" si="739"/>
        <v>133.90649999999999</v>
      </c>
      <c r="H575" s="125" t="s">
        <v>119</v>
      </c>
      <c r="I575" s="90">
        <v>2.4E-2</v>
      </c>
      <c r="J575" s="91">
        <f t="shared" si="740"/>
        <v>3.2137560000000001</v>
      </c>
      <c r="K575" s="92">
        <f>'LABOR SHEET'!C$10</f>
        <v>26.5</v>
      </c>
      <c r="L575" s="93">
        <f t="shared" si="741"/>
        <v>0.63600000000000001</v>
      </c>
      <c r="M575" s="93">
        <f t="shared" si="742"/>
        <v>85.164534000000003</v>
      </c>
      <c r="N575" s="93">
        <v>1.2</v>
      </c>
      <c r="O575" s="93">
        <f t="shared" si="743"/>
        <v>160.68780000000001</v>
      </c>
      <c r="P575" s="93">
        <f t="shared" si="744"/>
        <v>1.8360000000000001</v>
      </c>
      <c r="Q575" s="112">
        <f t="shared" si="745"/>
        <v>245.85233400000001</v>
      </c>
    </row>
    <row r="576" spans="1:17" s="31" customFormat="1">
      <c r="A576" s="55">
        <f>IF(F576&lt;&gt;"",1+MAX($A$2:A575),"")</f>
        <v>427</v>
      </c>
      <c r="B576" s="174"/>
      <c r="C576" s="125"/>
      <c r="D576" s="155" t="s">
        <v>427</v>
      </c>
      <c r="E576" s="156">
        <v>900.67</v>
      </c>
      <c r="F576" s="124">
        <v>0.05</v>
      </c>
      <c r="G576" s="64">
        <f t="shared" si="739"/>
        <v>945.70349999999996</v>
      </c>
      <c r="H576" s="125" t="s">
        <v>119</v>
      </c>
      <c r="I576" s="90">
        <v>2.4E-2</v>
      </c>
      <c r="J576" s="91">
        <f t="shared" si="740"/>
        <v>22.696884000000001</v>
      </c>
      <c r="K576" s="92">
        <f>'LABOR SHEET'!C$10</f>
        <v>26.5</v>
      </c>
      <c r="L576" s="93">
        <f t="shared" si="741"/>
        <v>0.63600000000000001</v>
      </c>
      <c r="M576" s="93">
        <f t="shared" si="742"/>
        <v>601.46742600000005</v>
      </c>
      <c r="N576" s="93">
        <v>1.2</v>
      </c>
      <c r="O576" s="93">
        <f t="shared" si="743"/>
        <v>1134.8442</v>
      </c>
      <c r="P576" s="93">
        <f t="shared" si="744"/>
        <v>1.8360000000000001</v>
      </c>
      <c r="Q576" s="112">
        <f t="shared" si="745"/>
        <v>1736.3116259999999</v>
      </c>
    </row>
    <row r="577" spans="1:36" s="31" customFormat="1">
      <c r="A577" s="55">
        <f>IF(F577&lt;&gt;"",1+MAX($A$2:A576),"")</f>
        <v>428</v>
      </c>
      <c r="B577" s="174"/>
      <c r="C577" s="125"/>
      <c r="D577" s="155" t="s">
        <v>428</v>
      </c>
      <c r="E577" s="156">
        <v>322.07</v>
      </c>
      <c r="F577" s="124">
        <v>0.05</v>
      </c>
      <c r="G577" s="64">
        <f t="shared" si="739"/>
        <v>338.17349999999999</v>
      </c>
      <c r="H577" s="125" t="s">
        <v>119</v>
      </c>
      <c r="I577" s="90">
        <v>0.1</v>
      </c>
      <c r="J577" s="91">
        <f t="shared" si="740"/>
        <v>33.817349999999998</v>
      </c>
      <c r="K577" s="92">
        <f>'LABOR SHEET'!C$10</f>
        <v>26.5</v>
      </c>
      <c r="L577" s="93">
        <f t="shared" si="741"/>
        <v>2.65</v>
      </c>
      <c r="M577" s="93">
        <f t="shared" si="742"/>
        <v>896.15977499999997</v>
      </c>
      <c r="N577" s="93">
        <v>4.7</v>
      </c>
      <c r="O577" s="93">
        <f t="shared" si="743"/>
        <v>1589.41545</v>
      </c>
      <c r="P577" s="93">
        <f t="shared" si="744"/>
        <v>7.35</v>
      </c>
      <c r="Q577" s="112">
        <f t="shared" si="745"/>
        <v>2485.575225</v>
      </c>
    </row>
    <row r="578" spans="1:36" s="31" customFormat="1">
      <c r="A578" s="55">
        <f>IF(F578&lt;&gt;"",1+MAX($A$2:A577),"")</f>
        <v>429</v>
      </c>
      <c r="B578" s="174"/>
      <c r="C578" s="125"/>
      <c r="D578" s="155" t="s">
        <v>429</v>
      </c>
      <c r="E578" s="156">
        <v>49.04</v>
      </c>
      <c r="F578" s="124">
        <v>0.05</v>
      </c>
      <c r="G578" s="64">
        <f t="shared" si="739"/>
        <v>51.491999999999997</v>
      </c>
      <c r="H578" s="125" t="s">
        <v>119</v>
      </c>
      <c r="I578" s="90">
        <v>7.6999999999999999E-2</v>
      </c>
      <c r="J578" s="91">
        <f t="shared" si="740"/>
        <v>3.9648840000000001</v>
      </c>
      <c r="K578" s="92">
        <f>'LABOR SHEET'!C$10</f>
        <v>26.5</v>
      </c>
      <c r="L578" s="93">
        <f t="shared" si="741"/>
        <v>2.0405000000000002</v>
      </c>
      <c r="M578" s="93">
        <f t="shared" si="742"/>
        <v>105.06942600000001</v>
      </c>
      <c r="N578" s="93">
        <v>3.6</v>
      </c>
      <c r="O578" s="93">
        <f t="shared" si="743"/>
        <v>185.37119999999999</v>
      </c>
      <c r="P578" s="93">
        <f t="shared" si="744"/>
        <v>5.6405000000000003</v>
      </c>
      <c r="Q578" s="112">
        <f t="shared" si="745"/>
        <v>290.44062600000001</v>
      </c>
    </row>
    <row r="579" spans="1:36" s="31" customFormat="1">
      <c r="A579" s="55">
        <f>IF(F579&lt;&gt;"",1+MAX($A$2:A578),"")</f>
        <v>430</v>
      </c>
      <c r="B579" s="174"/>
      <c r="C579" s="125"/>
      <c r="D579" s="155" t="s">
        <v>430</v>
      </c>
      <c r="E579" s="156">
        <v>56</v>
      </c>
      <c r="F579" s="124">
        <v>0.05</v>
      </c>
      <c r="G579" s="64">
        <f t="shared" si="739"/>
        <v>58.8</v>
      </c>
      <c r="H579" s="125" t="s">
        <v>119</v>
      </c>
      <c r="I579" s="90">
        <v>6.7000000000000004E-2</v>
      </c>
      <c r="J579" s="91">
        <f t="shared" si="740"/>
        <v>3.9396</v>
      </c>
      <c r="K579" s="92">
        <f>'LABOR SHEET'!C$10</f>
        <v>26.5</v>
      </c>
      <c r="L579" s="93">
        <f t="shared" si="741"/>
        <v>1.7755000000000001</v>
      </c>
      <c r="M579" s="93">
        <f t="shared" si="742"/>
        <v>104.3994</v>
      </c>
      <c r="N579" s="93">
        <v>2.7</v>
      </c>
      <c r="O579" s="93">
        <f t="shared" si="743"/>
        <v>158.76</v>
      </c>
      <c r="P579" s="93">
        <f t="shared" si="744"/>
        <v>4.4755000000000003</v>
      </c>
      <c r="Q579" s="112">
        <f t="shared" si="745"/>
        <v>263.15940000000001</v>
      </c>
    </row>
    <row r="580" spans="1:36" s="31" customFormat="1">
      <c r="A580" s="55">
        <f>IF(F580&lt;&gt;"",1+MAX($A$2:A579),"")</f>
        <v>431</v>
      </c>
      <c r="B580" s="174"/>
      <c r="C580" s="125"/>
      <c r="D580" s="155" t="s">
        <v>431</v>
      </c>
      <c r="E580" s="156">
        <v>76.64</v>
      </c>
      <c r="F580" s="124">
        <v>0.05</v>
      </c>
      <c r="G580" s="64">
        <f t="shared" si="739"/>
        <v>80.471999999999994</v>
      </c>
      <c r="H580" s="125" t="s">
        <v>119</v>
      </c>
      <c r="I580" s="90">
        <v>3.4000000000000002E-2</v>
      </c>
      <c r="J580" s="91">
        <f t="shared" si="740"/>
        <v>2.7360479999999998</v>
      </c>
      <c r="K580" s="92">
        <f>'LABOR SHEET'!C$10</f>
        <v>26.5</v>
      </c>
      <c r="L580" s="93">
        <f t="shared" si="741"/>
        <v>0.90100000000000002</v>
      </c>
      <c r="M580" s="93">
        <f t="shared" si="742"/>
        <v>72.505272000000005</v>
      </c>
      <c r="N580" s="93">
        <v>1.5</v>
      </c>
      <c r="O580" s="93">
        <f t="shared" si="743"/>
        <v>120.708</v>
      </c>
      <c r="P580" s="93">
        <f t="shared" si="744"/>
        <v>2.4009999999999998</v>
      </c>
      <c r="Q580" s="112">
        <f t="shared" si="745"/>
        <v>193.21327199999999</v>
      </c>
    </row>
    <row r="581" spans="1:36" s="31" customFormat="1">
      <c r="A581" s="55" t="str">
        <f>IF(F581&lt;&gt;"",1+MAX($A$2:A580),"")</f>
        <v/>
      </c>
      <c r="B581" s="197"/>
      <c r="C581" s="163"/>
      <c r="D581" s="144"/>
      <c r="E581" s="198"/>
      <c r="F581" s="199"/>
      <c r="G581" s="200"/>
      <c r="H581" s="201"/>
      <c r="I581" s="94"/>
      <c r="J581" s="91"/>
      <c r="K581" s="92"/>
      <c r="L581" s="97"/>
      <c r="M581" s="97"/>
      <c r="N581" s="97"/>
      <c r="O581" s="97"/>
      <c r="P581" s="97"/>
      <c r="Q581" s="137"/>
    </row>
    <row r="582" spans="1:36" s="31" customFormat="1">
      <c r="A582" s="55" t="str">
        <f>IF(F582&lt;&gt;"",1+MAX($A$2:A581),"")</f>
        <v/>
      </c>
      <c r="B582" s="174"/>
      <c r="C582" s="202"/>
      <c r="D582" s="67" t="s">
        <v>58</v>
      </c>
      <c r="E582" s="203"/>
      <c r="F582" s="203"/>
      <c r="G582" s="204"/>
      <c r="H582" s="203"/>
      <c r="I582" s="203"/>
      <c r="J582" s="130"/>
      <c r="K582" s="130"/>
      <c r="L582" s="222"/>
      <c r="M582" s="132"/>
      <c r="N582" s="222"/>
      <c r="O582" s="222"/>
      <c r="P582" s="223"/>
      <c r="Q582" s="230">
        <f>SUM(Q334:Q580)</f>
        <v>880869.27811875497</v>
      </c>
    </row>
    <row r="583" spans="1:36" s="31" customFormat="1">
      <c r="A583" s="55" t="str">
        <f>IF(F583&lt;&gt;"",1+MAX($A$2:A582),"")</f>
        <v/>
      </c>
      <c r="B583" s="205"/>
      <c r="C583" s="205"/>
      <c r="D583" s="205"/>
      <c r="E583" s="205"/>
      <c r="F583" s="205"/>
      <c r="G583" s="205"/>
      <c r="H583" s="205"/>
      <c r="I583" s="205"/>
      <c r="J583" s="205"/>
      <c r="K583" s="205"/>
      <c r="L583" s="205"/>
      <c r="M583" s="205"/>
      <c r="N583" s="205"/>
      <c r="O583" s="205"/>
      <c r="P583" s="205"/>
      <c r="Q583" s="231"/>
    </row>
    <row r="584" spans="1:36" s="30" customFormat="1">
      <c r="A584" s="45" t="str">
        <f>IF(F584&lt;&gt;"",1+MAX($A$2:A583),"")</f>
        <v/>
      </c>
      <c r="B584" s="46"/>
      <c r="C584" s="46">
        <v>10</v>
      </c>
      <c r="D584" s="206" t="s">
        <v>432</v>
      </c>
      <c r="E584" s="142"/>
      <c r="F584" s="142"/>
      <c r="G584" s="142"/>
      <c r="H584" s="142"/>
      <c r="I584" s="142"/>
      <c r="J584" s="142"/>
      <c r="K584" s="142"/>
      <c r="L584" s="142" t="s">
        <v>309</v>
      </c>
      <c r="M584" s="142"/>
      <c r="N584" s="142"/>
      <c r="O584" s="142"/>
      <c r="P584" s="142"/>
      <c r="Q584" s="153"/>
      <c r="S584" s="110"/>
    </row>
    <row r="585" spans="1:36" s="30" customFormat="1">
      <c r="A585" s="55" t="str">
        <f>IF(F585&lt;&gt;"",1+MAX($A$2:A584),"")</f>
        <v/>
      </c>
      <c r="B585" s="207"/>
      <c r="C585" s="208"/>
      <c r="D585" s="209" t="s">
        <v>433</v>
      </c>
      <c r="E585" s="210"/>
      <c r="F585" s="210"/>
      <c r="G585" s="210"/>
      <c r="H585" s="210"/>
      <c r="I585" s="224"/>
      <c r="J585" s="225"/>
      <c r="K585" s="226"/>
      <c r="L585" s="93"/>
      <c r="M585" s="93"/>
      <c r="N585" s="93"/>
      <c r="O585" s="93"/>
      <c r="P585" s="93"/>
      <c r="Q585" s="111"/>
      <c r="R585" s="195"/>
      <c r="S585" s="195"/>
      <c r="T585" s="195"/>
      <c r="U585" s="195"/>
      <c r="V585" s="195"/>
      <c r="W585" s="195"/>
      <c r="X585" s="195"/>
      <c r="Y585" s="195"/>
      <c r="Z585" s="195"/>
      <c r="AA585" s="195"/>
      <c r="AB585" s="195"/>
      <c r="AC585" s="195"/>
      <c r="AD585" s="195"/>
      <c r="AE585" s="195"/>
      <c r="AF585" s="195"/>
      <c r="AG585" s="195"/>
      <c r="AH585" s="195"/>
      <c r="AI585" s="195"/>
      <c r="AJ585" s="195"/>
    </row>
    <row r="586" spans="1:36" s="30" customFormat="1">
      <c r="A586" s="55">
        <f>IF(F586&lt;&gt;"",1+MAX($A$2:A585),"")</f>
        <v>432</v>
      </c>
      <c r="B586" s="211"/>
      <c r="C586" s="208"/>
      <c r="D586" s="155" t="s">
        <v>434</v>
      </c>
      <c r="E586" s="159">
        <v>1</v>
      </c>
      <c r="F586" s="124">
        <v>0</v>
      </c>
      <c r="G586" s="64">
        <f t="shared" ref="G586:G588" si="746">(F586*E586)+E586</f>
        <v>1</v>
      </c>
      <c r="H586" s="58" t="s">
        <v>124</v>
      </c>
      <c r="I586" s="90">
        <v>70</v>
      </c>
      <c r="J586" s="91">
        <f t="shared" ref="J586" si="747">+I586*G586</f>
        <v>70</v>
      </c>
      <c r="K586" s="92">
        <v>60</v>
      </c>
      <c r="L586" s="93">
        <f t="shared" ref="L586" si="748">I586*K586</f>
        <v>4200</v>
      </c>
      <c r="M586" s="93">
        <f t="shared" ref="M586" si="749">K586*J586</f>
        <v>4200</v>
      </c>
      <c r="N586" s="93">
        <f>9832+260</f>
        <v>10092</v>
      </c>
      <c r="O586" s="93">
        <f t="shared" ref="O586" si="750">N586*G586</f>
        <v>10092</v>
      </c>
      <c r="P586" s="93">
        <f t="shared" ref="P586" si="751">(I586*K586)+N586</f>
        <v>14292</v>
      </c>
      <c r="Q586" s="112">
        <f t="shared" ref="Q586" si="752">P586*G586</f>
        <v>14292</v>
      </c>
    </row>
    <row r="587" spans="1:36" s="30" customFormat="1">
      <c r="A587" s="55">
        <f>IF(F587&lt;&gt;"",1+MAX($A$2:A586),"")</f>
        <v>433</v>
      </c>
      <c r="B587" s="211"/>
      <c r="C587" s="208"/>
      <c r="D587" s="155" t="s">
        <v>435</v>
      </c>
      <c r="E587" s="159">
        <v>1</v>
      </c>
      <c r="F587" s="124">
        <v>0</v>
      </c>
      <c r="G587" s="64">
        <f t="shared" si="746"/>
        <v>1</v>
      </c>
      <c r="H587" s="58" t="s">
        <v>124</v>
      </c>
      <c r="I587" s="90">
        <v>55</v>
      </c>
      <c r="J587" s="91">
        <f t="shared" ref="J587:J588" si="753">+I587*G587</f>
        <v>55</v>
      </c>
      <c r="K587" s="92">
        <v>60</v>
      </c>
      <c r="L587" s="93">
        <f t="shared" ref="L587:L588" si="754">I587*K587</f>
        <v>3300</v>
      </c>
      <c r="M587" s="93">
        <f t="shared" ref="M587:M588" si="755">K587*J587</f>
        <v>3300</v>
      </c>
      <c r="N587" s="93">
        <v>9100</v>
      </c>
      <c r="O587" s="93">
        <f t="shared" ref="O587:O588" si="756">N587*G587</f>
        <v>9100</v>
      </c>
      <c r="P587" s="93">
        <f t="shared" ref="P587:P588" si="757">(I587*K587)+N587</f>
        <v>12400</v>
      </c>
      <c r="Q587" s="112">
        <f t="shared" ref="Q587:Q588" si="758">P587*G587</f>
        <v>12400</v>
      </c>
    </row>
    <row r="588" spans="1:36" s="30" customFormat="1">
      <c r="A588" s="55">
        <f>IF(F588&lt;&gt;"",1+MAX($A$2:A587),"")</f>
        <v>434</v>
      </c>
      <c r="B588" s="207"/>
      <c r="C588" s="208"/>
      <c r="D588" s="155" t="s">
        <v>436</v>
      </c>
      <c r="E588" s="159">
        <v>2</v>
      </c>
      <c r="F588" s="124">
        <v>0</v>
      </c>
      <c r="G588" s="64">
        <f t="shared" si="746"/>
        <v>2</v>
      </c>
      <c r="H588" s="58" t="s">
        <v>124</v>
      </c>
      <c r="I588" s="90">
        <v>7</v>
      </c>
      <c r="J588" s="91">
        <f t="shared" si="753"/>
        <v>14</v>
      </c>
      <c r="K588" s="92">
        <v>60</v>
      </c>
      <c r="L588" s="93">
        <f t="shared" si="754"/>
        <v>420</v>
      </c>
      <c r="M588" s="93">
        <f t="shared" si="755"/>
        <v>840</v>
      </c>
      <c r="N588" s="93">
        <v>747</v>
      </c>
      <c r="O588" s="93">
        <f t="shared" si="756"/>
        <v>1494</v>
      </c>
      <c r="P588" s="93">
        <f t="shared" si="757"/>
        <v>1167</v>
      </c>
      <c r="Q588" s="112">
        <f t="shared" si="758"/>
        <v>2334</v>
      </c>
    </row>
    <row r="589" spans="1:36" s="30" customFormat="1">
      <c r="A589" s="55" t="str">
        <f>IF(F589&lt;&gt;"",1+MAX($A$2:A588),"")</f>
        <v/>
      </c>
      <c r="B589" s="207"/>
      <c r="C589" s="208"/>
      <c r="D589" s="212"/>
      <c r="E589" s="58"/>
      <c r="F589" s="58"/>
      <c r="G589" s="58"/>
      <c r="H589" s="58"/>
      <c r="I589" s="224"/>
      <c r="J589" s="225"/>
      <c r="K589" s="226"/>
      <c r="L589" s="93"/>
      <c r="M589" s="93"/>
      <c r="N589" s="93"/>
      <c r="O589" s="93"/>
      <c r="P589" s="93"/>
      <c r="Q589" s="111"/>
    </row>
    <row r="590" spans="1:36" s="30" customFormat="1">
      <c r="A590" s="55" t="str">
        <f>IF(F590&lt;&gt;"",1+MAX($A$2:A589),"")</f>
        <v/>
      </c>
      <c r="B590" s="207"/>
      <c r="C590" s="208"/>
      <c r="D590" s="209" t="s">
        <v>437</v>
      </c>
      <c r="E590" s="210"/>
      <c r="F590" s="210"/>
      <c r="G590" s="210"/>
      <c r="H590" s="210"/>
      <c r="I590" s="224"/>
      <c r="J590" s="225"/>
      <c r="K590" s="226"/>
      <c r="L590" s="93"/>
      <c r="M590" s="93"/>
      <c r="N590" s="93"/>
      <c r="O590" s="93"/>
      <c r="P590" s="93"/>
      <c r="Q590" s="111"/>
      <c r="R590" s="195"/>
      <c r="S590" s="195"/>
      <c r="T590" s="195"/>
      <c r="U590" s="195"/>
      <c r="V590" s="195"/>
      <c r="W590" s="195"/>
      <c r="X590" s="195"/>
      <c r="Y590" s="195"/>
      <c r="Z590" s="195"/>
      <c r="AA590" s="195"/>
      <c r="AB590" s="195"/>
      <c r="AC590" s="195"/>
      <c r="AD590" s="195"/>
      <c r="AE590" s="195"/>
      <c r="AF590" s="195"/>
      <c r="AG590" s="195"/>
      <c r="AH590" s="195"/>
      <c r="AI590" s="195"/>
      <c r="AJ590" s="195"/>
    </row>
    <row r="591" spans="1:36" s="30" customFormat="1" ht="46.5">
      <c r="A591" s="55">
        <f>IF(F591&lt;&gt;"",1+MAX($A$2:A590),"")</f>
        <v>435</v>
      </c>
      <c r="B591" s="207"/>
      <c r="C591" s="208"/>
      <c r="D591" s="155" t="s">
        <v>438</v>
      </c>
      <c r="E591" s="159">
        <v>1</v>
      </c>
      <c r="F591" s="124">
        <v>0</v>
      </c>
      <c r="G591" s="64">
        <f t="shared" ref="G591" si="759">(F591*E591)+E591</f>
        <v>1</v>
      </c>
      <c r="H591" s="58" t="s">
        <v>124</v>
      </c>
      <c r="I591" s="90">
        <v>400</v>
      </c>
      <c r="J591" s="91">
        <f t="shared" ref="J591" si="760">+I591*G591</f>
        <v>400</v>
      </c>
      <c r="K591" s="92">
        <v>100</v>
      </c>
      <c r="L591" s="93">
        <f t="shared" ref="L591" si="761">I591*K591</f>
        <v>40000</v>
      </c>
      <c r="M591" s="93">
        <f t="shared" ref="M591" si="762">K591*J591</f>
        <v>40000</v>
      </c>
      <c r="N591" s="93">
        <f>37500*2</f>
        <v>75000</v>
      </c>
      <c r="O591" s="93">
        <f t="shared" ref="O591" si="763">N591*G591</f>
        <v>75000</v>
      </c>
      <c r="P591" s="93">
        <f t="shared" ref="P591" si="764">(I591*K591)+N591</f>
        <v>115000</v>
      </c>
      <c r="Q591" s="112">
        <f t="shared" ref="Q591" si="765">P591*G591</f>
        <v>115000</v>
      </c>
    </row>
    <row r="592" spans="1:36" s="30" customFormat="1">
      <c r="A592" s="55" t="str">
        <f>IF(F592&lt;&gt;"",1+MAX($A$2:A591),"")</f>
        <v/>
      </c>
      <c r="B592" s="207"/>
      <c r="C592" s="208"/>
      <c r="D592" s="212"/>
      <c r="E592" s="58"/>
      <c r="F592" s="58"/>
      <c r="G592" s="58"/>
      <c r="H592" s="58"/>
      <c r="I592" s="224"/>
      <c r="J592" s="225"/>
      <c r="K592" s="226"/>
      <c r="L592" s="93"/>
      <c r="M592" s="93"/>
      <c r="N592" s="93"/>
      <c r="O592" s="93"/>
      <c r="P592" s="93"/>
      <c r="Q592" s="111"/>
    </row>
    <row r="593" spans="1:17" s="30" customFormat="1">
      <c r="A593" s="55" t="str">
        <f>IF(F593&lt;&gt;"",1+MAX($A$2:A592),"")</f>
        <v/>
      </c>
      <c r="B593" s="207"/>
      <c r="C593" s="208"/>
      <c r="D593" s="209" t="s">
        <v>439</v>
      </c>
      <c r="E593" s="58"/>
      <c r="F593" s="58"/>
      <c r="G593" s="58"/>
      <c r="H593" s="58"/>
      <c r="I593" s="224"/>
      <c r="J593" s="225"/>
      <c r="K593" s="226"/>
      <c r="L593" s="93"/>
      <c r="M593" s="93"/>
      <c r="N593" s="93"/>
      <c r="O593" s="93"/>
      <c r="P593" s="93"/>
      <c r="Q593" s="111"/>
    </row>
    <row r="594" spans="1:17" s="30" customFormat="1">
      <c r="A594" s="55">
        <f>IF(F594&lt;&gt;"",1+MAX($A$2:A593),"")</f>
        <v>436</v>
      </c>
      <c r="B594" s="207"/>
      <c r="C594" s="208"/>
      <c r="D594" s="155" t="s">
        <v>440</v>
      </c>
      <c r="E594" s="156">
        <v>34.700000000000003</v>
      </c>
      <c r="F594" s="124">
        <v>0</v>
      </c>
      <c r="G594" s="64">
        <f t="shared" ref="G594:G607" si="766">(F594*E594)+E594</f>
        <v>34.700000000000003</v>
      </c>
      <c r="H594" s="58" t="s">
        <v>124</v>
      </c>
      <c r="I594" s="90">
        <f>0.2*7</f>
        <v>1.4</v>
      </c>
      <c r="J594" s="91">
        <f t="shared" ref="J594:J607" si="767">+I594*G594</f>
        <v>48.58</v>
      </c>
      <c r="K594" s="92">
        <f>'LABOR SHEET'!C$16</f>
        <v>20</v>
      </c>
      <c r="L594" s="93">
        <f t="shared" ref="L594:L607" si="768">I594*K594</f>
        <v>28</v>
      </c>
      <c r="M594" s="93">
        <f t="shared" ref="M594:M607" si="769">K594*J594</f>
        <v>971.6</v>
      </c>
      <c r="N594" s="93">
        <f>40*7</f>
        <v>280</v>
      </c>
      <c r="O594" s="93">
        <f t="shared" ref="O594:O607" si="770">N594*G594</f>
        <v>9716</v>
      </c>
      <c r="P594" s="93">
        <f t="shared" ref="P594:P607" si="771">(I594*K594)+N594</f>
        <v>308</v>
      </c>
      <c r="Q594" s="112">
        <f t="shared" ref="Q594:Q607" si="772">P594*G594</f>
        <v>10687.6</v>
      </c>
    </row>
    <row r="595" spans="1:17" s="30" customFormat="1">
      <c r="A595" s="55">
        <f>IF(F595&lt;&gt;"",1+MAX($A$2:A594),"")</f>
        <v>437</v>
      </c>
      <c r="B595" s="207"/>
      <c r="C595" s="208"/>
      <c r="D595" s="155" t="s">
        <v>441</v>
      </c>
      <c r="E595" s="156">
        <v>3.83</v>
      </c>
      <c r="F595" s="124">
        <v>0</v>
      </c>
      <c r="G595" s="64">
        <f t="shared" si="766"/>
        <v>3.83</v>
      </c>
      <c r="H595" s="58" t="s">
        <v>124</v>
      </c>
      <c r="I595" s="90">
        <v>6</v>
      </c>
      <c r="J595" s="91">
        <f t="shared" si="767"/>
        <v>22.98</v>
      </c>
      <c r="K595" s="92">
        <f>'LABOR SHEET'!C$16</f>
        <v>20</v>
      </c>
      <c r="L595" s="93">
        <f t="shared" si="768"/>
        <v>120</v>
      </c>
      <c r="M595" s="93">
        <f t="shared" si="769"/>
        <v>459.6</v>
      </c>
      <c r="N595" s="93">
        <v>825</v>
      </c>
      <c r="O595" s="93">
        <f t="shared" si="770"/>
        <v>3159.75</v>
      </c>
      <c r="P595" s="93">
        <f t="shared" si="771"/>
        <v>945</v>
      </c>
      <c r="Q595" s="112">
        <f t="shared" si="772"/>
        <v>3619.35</v>
      </c>
    </row>
    <row r="596" spans="1:17" s="30" customFormat="1">
      <c r="A596" s="55">
        <f>IF(F596&lt;&gt;"",1+MAX($A$2:A595),"")</f>
        <v>438</v>
      </c>
      <c r="B596" s="207"/>
      <c r="C596" s="208"/>
      <c r="D596" s="155" t="s">
        <v>442</v>
      </c>
      <c r="E596" s="159">
        <v>1</v>
      </c>
      <c r="F596" s="124">
        <v>0</v>
      </c>
      <c r="G596" s="64">
        <f t="shared" si="766"/>
        <v>1</v>
      </c>
      <c r="H596" s="58" t="s">
        <v>124</v>
      </c>
      <c r="I596" s="90">
        <v>2.6</v>
      </c>
      <c r="J596" s="91">
        <f t="shared" si="767"/>
        <v>2.6</v>
      </c>
      <c r="K596" s="92">
        <f>'LABOR SHEET'!C$16</f>
        <v>20</v>
      </c>
      <c r="L596" s="93">
        <f t="shared" si="768"/>
        <v>52</v>
      </c>
      <c r="M596" s="93">
        <f t="shared" si="769"/>
        <v>52</v>
      </c>
      <c r="N596" s="93">
        <v>165</v>
      </c>
      <c r="O596" s="93">
        <f t="shared" si="770"/>
        <v>165</v>
      </c>
      <c r="P596" s="93">
        <f t="shared" si="771"/>
        <v>217</v>
      </c>
      <c r="Q596" s="112">
        <f t="shared" si="772"/>
        <v>217</v>
      </c>
    </row>
    <row r="597" spans="1:17" s="30" customFormat="1">
      <c r="A597" s="55">
        <f>IF(F597&lt;&gt;"",1+MAX($A$2:A596),"")</f>
        <v>439</v>
      </c>
      <c r="B597" s="207"/>
      <c r="C597" s="208"/>
      <c r="D597" s="155" t="s">
        <v>443</v>
      </c>
      <c r="E597" s="159">
        <v>15</v>
      </c>
      <c r="F597" s="124">
        <v>0</v>
      </c>
      <c r="G597" s="64">
        <f t="shared" si="766"/>
        <v>15</v>
      </c>
      <c r="H597" s="58" t="s">
        <v>124</v>
      </c>
      <c r="I597" s="90">
        <v>1.7</v>
      </c>
      <c r="J597" s="91">
        <f t="shared" si="767"/>
        <v>25.5</v>
      </c>
      <c r="K597" s="92">
        <f>'LABOR SHEET'!C$16</f>
        <v>20</v>
      </c>
      <c r="L597" s="93">
        <f t="shared" si="768"/>
        <v>34</v>
      </c>
      <c r="M597" s="93">
        <f t="shared" si="769"/>
        <v>510</v>
      </c>
      <c r="N597" s="93">
        <v>169.15</v>
      </c>
      <c r="O597" s="93">
        <f t="shared" si="770"/>
        <v>2537.25</v>
      </c>
      <c r="P597" s="93">
        <f t="shared" si="771"/>
        <v>203.15</v>
      </c>
      <c r="Q597" s="112">
        <f t="shared" si="772"/>
        <v>3047.25</v>
      </c>
    </row>
    <row r="598" spans="1:17" s="30" customFormat="1">
      <c r="A598" s="55">
        <f>IF(F598&lt;&gt;"",1+MAX($A$2:A597),"")</f>
        <v>440</v>
      </c>
      <c r="B598" s="207"/>
      <c r="C598" s="208"/>
      <c r="D598" s="155" t="s">
        <v>444</v>
      </c>
      <c r="E598" s="159">
        <v>15</v>
      </c>
      <c r="F598" s="124">
        <v>0</v>
      </c>
      <c r="G598" s="64">
        <f t="shared" si="766"/>
        <v>15</v>
      </c>
      <c r="H598" s="58" t="s">
        <v>124</v>
      </c>
      <c r="I598" s="90">
        <v>0.65</v>
      </c>
      <c r="J598" s="91">
        <f t="shared" si="767"/>
        <v>9.75</v>
      </c>
      <c r="K598" s="92">
        <f>'LABOR SHEET'!C$16</f>
        <v>20</v>
      </c>
      <c r="L598" s="93">
        <f t="shared" si="768"/>
        <v>13</v>
      </c>
      <c r="M598" s="93">
        <f t="shared" si="769"/>
        <v>195</v>
      </c>
      <c r="N598" s="93">
        <v>72</v>
      </c>
      <c r="O598" s="93">
        <f t="shared" si="770"/>
        <v>1080</v>
      </c>
      <c r="P598" s="93">
        <f t="shared" si="771"/>
        <v>85</v>
      </c>
      <c r="Q598" s="112">
        <f t="shared" si="772"/>
        <v>1275</v>
      </c>
    </row>
    <row r="599" spans="1:17" s="30" customFormat="1">
      <c r="A599" s="55">
        <f>IF(F599&lt;&gt;"",1+MAX($A$2:A598),"")</f>
        <v>441</v>
      </c>
      <c r="B599" s="207"/>
      <c r="C599" s="208"/>
      <c r="D599" s="155" t="s">
        <v>445</v>
      </c>
      <c r="E599" s="159">
        <v>15</v>
      </c>
      <c r="F599" s="124">
        <v>0</v>
      </c>
      <c r="G599" s="64">
        <f t="shared" si="766"/>
        <v>15</v>
      </c>
      <c r="H599" s="58" t="s">
        <v>124</v>
      </c>
      <c r="I599" s="90">
        <v>0.65</v>
      </c>
      <c r="J599" s="91">
        <f t="shared" si="767"/>
        <v>9.75</v>
      </c>
      <c r="K599" s="92">
        <f>'LABOR SHEET'!C$16</f>
        <v>20</v>
      </c>
      <c r="L599" s="93">
        <f t="shared" si="768"/>
        <v>13</v>
      </c>
      <c r="M599" s="93">
        <f t="shared" si="769"/>
        <v>195</v>
      </c>
      <c r="N599" s="93">
        <v>97.6</v>
      </c>
      <c r="O599" s="93">
        <f t="shared" si="770"/>
        <v>1464</v>
      </c>
      <c r="P599" s="93">
        <f t="shared" si="771"/>
        <v>110.6</v>
      </c>
      <c r="Q599" s="112">
        <f t="shared" si="772"/>
        <v>1659</v>
      </c>
    </row>
    <row r="600" spans="1:17" s="30" customFormat="1">
      <c r="A600" s="55">
        <f>IF(F600&lt;&gt;"",1+MAX($A$2:A599),"")</f>
        <v>442</v>
      </c>
      <c r="B600" s="207"/>
      <c r="C600" s="208"/>
      <c r="D600" s="155" t="s">
        <v>446</v>
      </c>
      <c r="E600" s="159">
        <v>12</v>
      </c>
      <c r="F600" s="124">
        <v>0</v>
      </c>
      <c r="G600" s="64">
        <f t="shared" si="766"/>
        <v>12</v>
      </c>
      <c r="H600" s="58" t="s">
        <v>124</v>
      </c>
      <c r="I600" s="90">
        <v>0.7</v>
      </c>
      <c r="J600" s="91">
        <f t="shared" si="767"/>
        <v>8.4</v>
      </c>
      <c r="K600" s="92">
        <f>'LABOR SHEET'!C$16</f>
        <v>20</v>
      </c>
      <c r="L600" s="93">
        <f t="shared" si="768"/>
        <v>14</v>
      </c>
      <c r="M600" s="93">
        <f t="shared" si="769"/>
        <v>168</v>
      </c>
      <c r="N600" s="93">
        <v>72.7</v>
      </c>
      <c r="O600" s="93">
        <f t="shared" si="770"/>
        <v>872.4</v>
      </c>
      <c r="P600" s="93">
        <f t="shared" si="771"/>
        <v>86.7</v>
      </c>
      <c r="Q600" s="112">
        <f t="shared" si="772"/>
        <v>1040.4000000000001</v>
      </c>
    </row>
    <row r="601" spans="1:17" s="30" customFormat="1">
      <c r="A601" s="55">
        <f>IF(F601&lt;&gt;"",1+MAX($A$2:A600),"")</f>
        <v>443</v>
      </c>
      <c r="B601" s="207"/>
      <c r="C601" s="208"/>
      <c r="D601" s="155" t="s">
        <v>447</v>
      </c>
      <c r="E601" s="159">
        <v>12</v>
      </c>
      <c r="F601" s="124">
        <v>0</v>
      </c>
      <c r="G601" s="64">
        <f t="shared" si="766"/>
        <v>12</v>
      </c>
      <c r="H601" s="58" t="s">
        <v>124</v>
      </c>
      <c r="I601" s="90">
        <v>0.55000000000000004</v>
      </c>
      <c r="J601" s="91">
        <f t="shared" si="767"/>
        <v>6.6</v>
      </c>
      <c r="K601" s="92">
        <f>'LABOR SHEET'!C$16</f>
        <v>20</v>
      </c>
      <c r="L601" s="93">
        <f t="shared" si="768"/>
        <v>11</v>
      </c>
      <c r="M601" s="93">
        <f t="shared" si="769"/>
        <v>132</v>
      </c>
      <c r="N601" s="93">
        <v>40.5</v>
      </c>
      <c r="O601" s="93">
        <f t="shared" si="770"/>
        <v>486</v>
      </c>
      <c r="P601" s="93">
        <f t="shared" si="771"/>
        <v>51.5</v>
      </c>
      <c r="Q601" s="112">
        <f t="shared" si="772"/>
        <v>618</v>
      </c>
    </row>
    <row r="602" spans="1:17" s="30" customFormat="1">
      <c r="A602" s="55">
        <f>IF(F602&lt;&gt;"",1+MAX($A$2:A601),"")</f>
        <v>444</v>
      </c>
      <c r="B602" s="207"/>
      <c r="C602" s="208"/>
      <c r="D602" s="155" t="s">
        <v>448</v>
      </c>
      <c r="E602" s="159">
        <v>12</v>
      </c>
      <c r="F602" s="124">
        <v>0</v>
      </c>
      <c r="G602" s="64">
        <f t="shared" si="766"/>
        <v>12</v>
      </c>
      <c r="H602" s="58" t="s">
        <v>124</v>
      </c>
      <c r="I602" s="90">
        <v>0.6</v>
      </c>
      <c r="J602" s="91">
        <f t="shared" si="767"/>
        <v>7.2</v>
      </c>
      <c r="K602" s="92">
        <f>'LABOR SHEET'!C$16</f>
        <v>20</v>
      </c>
      <c r="L602" s="93">
        <f t="shared" si="768"/>
        <v>12</v>
      </c>
      <c r="M602" s="93">
        <f t="shared" si="769"/>
        <v>144</v>
      </c>
      <c r="N602" s="93">
        <v>52</v>
      </c>
      <c r="O602" s="93">
        <f t="shared" si="770"/>
        <v>624</v>
      </c>
      <c r="P602" s="93">
        <f t="shared" si="771"/>
        <v>64</v>
      </c>
      <c r="Q602" s="112">
        <f t="shared" si="772"/>
        <v>768</v>
      </c>
    </row>
    <row r="603" spans="1:17" s="30" customFormat="1">
      <c r="A603" s="55">
        <f>IF(F603&lt;&gt;"",1+MAX($A$2:A602),"")</f>
        <v>445</v>
      </c>
      <c r="B603" s="207"/>
      <c r="C603" s="208"/>
      <c r="D603" s="155" t="s">
        <v>449</v>
      </c>
      <c r="E603" s="159">
        <v>17</v>
      </c>
      <c r="F603" s="124">
        <v>0</v>
      </c>
      <c r="G603" s="64">
        <f t="shared" si="766"/>
        <v>17</v>
      </c>
      <c r="H603" s="58" t="s">
        <v>124</v>
      </c>
      <c r="I603" s="90">
        <v>0.65</v>
      </c>
      <c r="J603" s="91">
        <f t="shared" si="767"/>
        <v>11.05</v>
      </c>
      <c r="K603" s="92">
        <f>'LABOR SHEET'!C$16</f>
        <v>20</v>
      </c>
      <c r="L603" s="93">
        <f t="shared" si="768"/>
        <v>13</v>
      </c>
      <c r="M603" s="93">
        <f t="shared" si="769"/>
        <v>221</v>
      </c>
      <c r="N603" s="93">
        <v>65</v>
      </c>
      <c r="O603" s="93">
        <f t="shared" si="770"/>
        <v>1105</v>
      </c>
      <c r="P603" s="93">
        <f t="shared" si="771"/>
        <v>78</v>
      </c>
      <c r="Q603" s="112">
        <f t="shared" si="772"/>
        <v>1326</v>
      </c>
    </row>
    <row r="604" spans="1:17" s="30" customFormat="1">
      <c r="A604" s="55">
        <f>IF(F604&lt;&gt;"",1+MAX($A$2:A603),"")</f>
        <v>446</v>
      </c>
      <c r="B604" s="207"/>
      <c r="C604" s="208"/>
      <c r="D604" s="155" t="s">
        <v>450</v>
      </c>
      <c r="E604" s="159">
        <v>12</v>
      </c>
      <c r="F604" s="124">
        <v>0</v>
      </c>
      <c r="G604" s="64">
        <f t="shared" si="766"/>
        <v>12</v>
      </c>
      <c r="H604" s="58" t="s">
        <v>124</v>
      </c>
      <c r="I604" s="90">
        <v>0.38</v>
      </c>
      <c r="J604" s="91">
        <f t="shared" si="767"/>
        <v>4.5599999999999996</v>
      </c>
      <c r="K604" s="92">
        <f>'LABOR SHEET'!C$16</f>
        <v>20</v>
      </c>
      <c r="L604" s="93">
        <f t="shared" si="768"/>
        <v>7.6</v>
      </c>
      <c r="M604" s="93">
        <f t="shared" si="769"/>
        <v>91.2</v>
      </c>
      <c r="N604" s="93">
        <v>39</v>
      </c>
      <c r="O604" s="93">
        <f t="shared" si="770"/>
        <v>468</v>
      </c>
      <c r="P604" s="93">
        <f t="shared" si="771"/>
        <v>46.6</v>
      </c>
      <c r="Q604" s="112">
        <f t="shared" si="772"/>
        <v>559.20000000000005</v>
      </c>
    </row>
    <row r="605" spans="1:17" s="30" customFormat="1">
      <c r="A605" s="55">
        <f>IF(F605&lt;&gt;"",1+MAX($A$2:A604),"")</f>
        <v>447</v>
      </c>
      <c r="B605" s="207"/>
      <c r="C605" s="208"/>
      <c r="D605" s="155" t="s">
        <v>451</v>
      </c>
      <c r="E605" s="159">
        <v>12</v>
      </c>
      <c r="F605" s="124">
        <v>0</v>
      </c>
      <c r="G605" s="64">
        <f t="shared" si="766"/>
        <v>12</v>
      </c>
      <c r="H605" s="58" t="s">
        <v>124</v>
      </c>
      <c r="I605" s="90">
        <v>0.65</v>
      </c>
      <c r="J605" s="91">
        <f t="shared" si="767"/>
        <v>7.8</v>
      </c>
      <c r="K605" s="92">
        <f>'LABOR SHEET'!C$16</f>
        <v>20</v>
      </c>
      <c r="L605" s="93">
        <f t="shared" si="768"/>
        <v>13</v>
      </c>
      <c r="M605" s="93">
        <f t="shared" si="769"/>
        <v>156</v>
      </c>
      <c r="N605" s="93">
        <v>62</v>
      </c>
      <c r="O605" s="93">
        <f t="shared" si="770"/>
        <v>744</v>
      </c>
      <c r="P605" s="93">
        <f t="shared" si="771"/>
        <v>75</v>
      </c>
      <c r="Q605" s="112">
        <f t="shared" si="772"/>
        <v>900</v>
      </c>
    </row>
    <row r="606" spans="1:17" s="30" customFormat="1">
      <c r="A606" s="55">
        <f>IF(F606&lt;&gt;"",1+MAX($A$2:A605),"")</f>
        <v>448</v>
      </c>
      <c r="B606" s="207"/>
      <c r="C606" s="208"/>
      <c r="D606" s="155" t="s">
        <v>452</v>
      </c>
      <c r="E606" s="159">
        <v>12</v>
      </c>
      <c r="F606" s="124">
        <v>0</v>
      </c>
      <c r="G606" s="64">
        <f t="shared" si="766"/>
        <v>12</v>
      </c>
      <c r="H606" s="58" t="s">
        <v>124</v>
      </c>
      <c r="I606" s="90">
        <v>1.2</v>
      </c>
      <c r="J606" s="91">
        <f t="shared" si="767"/>
        <v>14.4</v>
      </c>
      <c r="K606" s="92">
        <f>'LABOR SHEET'!C$16</f>
        <v>20</v>
      </c>
      <c r="L606" s="93">
        <f t="shared" si="768"/>
        <v>24</v>
      </c>
      <c r="M606" s="93">
        <f t="shared" si="769"/>
        <v>288</v>
      </c>
      <c r="N606" s="93">
        <v>114</v>
      </c>
      <c r="O606" s="93">
        <f t="shared" si="770"/>
        <v>1368</v>
      </c>
      <c r="P606" s="93">
        <f t="shared" si="771"/>
        <v>138</v>
      </c>
      <c r="Q606" s="112">
        <f t="shared" si="772"/>
        <v>1656</v>
      </c>
    </row>
    <row r="607" spans="1:17" s="30" customFormat="1">
      <c r="A607" s="55">
        <f>IF(F607&lt;&gt;"",1+MAX($A$2:A606),"")</f>
        <v>449</v>
      </c>
      <c r="B607" s="207"/>
      <c r="C607" s="208"/>
      <c r="D607" s="155" t="s">
        <v>453</v>
      </c>
      <c r="E607" s="159">
        <v>8</v>
      </c>
      <c r="F607" s="124">
        <v>0</v>
      </c>
      <c r="G607" s="64">
        <f t="shared" si="766"/>
        <v>8</v>
      </c>
      <c r="H607" s="58" t="s">
        <v>124</v>
      </c>
      <c r="I607" s="90">
        <v>2</v>
      </c>
      <c r="J607" s="91">
        <f t="shared" si="767"/>
        <v>16</v>
      </c>
      <c r="K607" s="92">
        <f>'LABOR SHEET'!C$16</f>
        <v>20</v>
      </c>
      <c r="L607" s="93">
        <f t="shared" si="768"/>
        <v>40</v>
      </c>
      <c r="M607" s="93">
        <f t="shared" si="769"/>
        <v>320</v>
      </c>
      <c r="N607" s="93">
        <v>75.989999999999995</v>
      </c>
      <c r="O607" s="93">
        <f t="shared" si="770"/>
        <v>607.91999999999996</v>
      </c>
      <c r="P607" s="93">
        <f t="shared" si="771"/>
        <v>115.99</v>
      </c>
      <c r="Q607" s="112">
        <f t="shared" si="772"/>
        <v>927.92</v>
      </c>
    </row>
    <row r="608" spans="1:17" s="30" customFormat="1">
      <c r="A608" s="55" t="str">
        <f>IF(F608&lt;&gt;"",1+MAX($A$2:A607),"")</f>
        <v/>
      </c>
      <c r="B608" s="207"/>
      <c r="C608" s="213"/>
      <c r="D608" s="214"/>
      <c r="E608" s="62"/>
      <c r="F608" s="199"/>
      <c r="G608" s="200"/>
      <c r="H608" s="62"/>
      <c r="I608" s="94"/>
      <c r="J608" s="91"/>
      <c r="K608" s="227"/>
      <c r="L608" s="97"/>
      <c r="M608" s="97"/>
      <c r="N608" s="97"/>
      <c r="O608" s="97"/>
      <c r="P608" s="97"/>
      <c r="Q608" s="137"/>
    </row>
    <row r="609" spans="1:36" s="30" customFormat="1">
      <c r="A609" s="55" t="str">
        <f>IF(F609&lt;&gt;"",1+MAX($A$2:A608),"")</f>
        <v/>
      </c>
      <c r="B609" s="207"/>
      <c r="C609" s="215"/>
      <c r="D609" s="67" t="s">
        <v>58</v>
      </c>
      <c r="E609" s="216"/>
      <c r="F609" s="216"/>
      <c r="G609" s="217"/>
      <c r="H609" s="216"/>
      <c r="I609" s="216"/>
      <c r="J609" s="130"/>
      <c r="K609" s="130"/>
      <c r="L609" s="131"/>
      <c r="M609" s="132"/>
      <c r="N609" s="131"/>
      <c r="O609" s="131"/>
      <c r="P609" s="228"/>
      <c r="Q609" s="106">
        <f>SUM(Q586:Q607)</f>
        <v>172326.72</v>
      </c>
      <c r="S609" s="110"/>
    </row>
    <row r="610" spans="1:36" s="30" customFormat="1">
      <c r="A610" s="55" t="str">
        <f>IF(F610&lt;&gt;"",1+MAX($A$2:A609),"")</f>
        <v/>
      </c>
      <c r="B610" s="218"/>
      <c r="C610" s="218"/>
      <c r="D610" s="219"/>
      <c r="E610" s="219"/>
      <c r="F610" s="219"/>
      <c r="G610" s="219"/>
      <c r="H610" s="219"/>
      <c r="I610" s="219"/>
      <c r="J610" s="219"/>
      <c r="K610" s="219"/>
      <c r="L610" s="219"/>
      <c r="M610" s="219"/>
      <c r="N610" s="219"/>
      <c r="O610" s="219"/>
      <c r="P610" s="219"/>
      <c r="Q610" s="232"/>
      <c r="S610" s="110"/>
    </row>
    <row r="611" spans="1:36" s="30" customFormat="1">
      <c r="A611" s="45" t="str">
        <f>IF(F611&lt;&gt;"",1+MAX($A$2:A610),"")</f>
        <v/>
      </c>
      <c r="B611" s="46"/>
      <c r="C611" s="46">
        <v>11</v>
      </c>
      <c r="D611" s="48" t="s">
        <v>454</v>
      </c>
      <c r="E611" s="46"/>
      <c r="F611" s="46"/>
      <c r="G611" s="46"/>
      <c r="H611" s="46"/>
      <c r="I611" s="46"/>
      <c r="J611" s="46"/>
      <c r="K611" s="46"/>
      <c r="L611" s="46" t="s">
        <v>309</v>
      </c>
      <c r="M611" s="46"/>
      <c r="N611" s="46"/>
      <c r="O611" s="46"/>
      <c r="P611" s="46"/>
      <c r="Q611" s="109"/>
      <c r="S611" s="110"/>
    </row>
    <row r="612" spans="1:36" s="30" customFormat="1">
      <c r="A612" s="55" t="str">
        <f>IF(F612&lt;&gt;"",1+MAX($A$2:A611),"")</f>
        <v/>
      </c>
      <c r="B612" s="207"/>
      <c r="C612" s="60"/>
      <c r="D612" s="209" t="s">
        <v>455</v>
      </c>
      <c r="E612" s="208"/>
      <c r="F612" s="127"/>
      <c r="G612" s="127"/>
      <c r="H612" s="208"/>
      <c r="I612" s="208"/>
      <c r="J612" s="208"/>
      <c r="K612" s="208"/>
      <c r="L612" s="93"/>
      <c r="M612" s="93"/>
      <c r="N612" s="93"/>
      <c r="O612" s="93"/>
      <c r="P612" s="93"/>
      <c r="Q612" s="111"/>
      <c r="R612" s="195"/>
      <c r="S612" s="195"/>
      <c r="T612" s="195"/>
      <c r="U612" s="195"/>
      <c r="V612" s="195"/>
      <c r="W612" s="195"/>
      <c r="X612" s="195"/>
      <c r="Y612" s="195"/>
      <c r="Z612" s="195"/>
      <c r="AA612" s="195"/>
      <c r="AB612" s="195"/>
      <c r="AC612" s="195"/>
      <c r="AD612" s="195"/>
      <c r="AE612" s="195"/>
      <c r="AF612" s="195"/>
      <c r="AG612" s="195"/>
      <c r="AH612" s="195"/>
      <c r="AI612" s="195"/>
      <c r="AJ612" s="195"/>
    </row>
    <row r="613" spans="1:36" s="30" customFormat="1">
      <c r="A613" s="55">
        <f>IF(F613&lt;&gt;"",1+MAX($A$2:A612),"")</f>
        <v>450</v>
      </c>
      <c r="B613" s="207"/>
      <c r="C613" s="208"/>
      <c r="D613" s="155" t="s">
        <v>456</v>
      </c>
      <c r="E613" s="159">
        <v>2</v>
      </c>
      <c r="F613" s="124">
        <v>0</v>
      </c>
      <c r="G613" s="64">
        <f t="shared" ref="G613:G628" si="773">(F613*E613)+E613</f>
        <v>2</v>
      </c>
      <c r="H613" s="58" t="s">
        <v>124</v>
      </c>
      <c r="I613" s="90">
        <v>4</v>
      </c>
      <c r="J613" s="91">
        <f t="shared" ref="J613:J628" si="774">+I613*G613</f>
        <v>8</v>
      </c>
      <c r="K613" s="92">
        <f>'LABOR SHEET'!C$16</f>
        <v>20</v>
      </c>
      <c r="L613" s="93">
        <f t="shared" ref="L613:L628" si="775">I613*K613</f>
        <v>80</v>
      </c>
      <c r="M613" s="93">
        <f t="shared" ref="M613:M628" si="776">K613*J613</f>
        <v>160</v>
      </c>
      <c r="N613" s="93">
        <v>1219</v>
      </c>
      <c r="O613" s="93">
        <f t="shared" ref="O613:O628" si="777">N613*G613</f>
        <v>2438</v>
      </c>
      <c r="P613" s="93">
        <f t="shared" ref="P613:P628" si="778">(I613*K613)+N613</f>
        <v>1299</v>
      </c>
      <c r="Q613" s="112">
        <f t="shared" ref="Q613:Q628" si="779">P613*G613</f>
        <v>2598</v>
      </c>
    </row>
    <row r="614" spans="1:36" s="30" customFormat="1">
      <c r="A614" s="55">
        <f>IF(F614&lt;&gt;"",1+MAX($A$2:A613),"")</f>
        <v>451</v>
      </c>
      <c r="B614" s="207"/>
      <c r="C614" s="208"/>
      <c r="D614" s="155" t="s">
        <v>457</v>
      </c>
      <c r="E614" s="159">
        <v>2</v>
      </c>
      <c r="F614" s="124">
        <v>0</v>
      </c>
      <c r="G614" s="64">
        <f t="shared" si="773"/>
        <v>2</v>
      </c>
      <c r="H614" s="58" t="s">
        <v>124</v>
      </c>
      <c r="I614" s="90">
        <v>3.3</v>
      </c>
      <c r="J614" s="91">
        <f t="shared" si="774"/>
        <v>6.6</v>
      </c>
      <c r="K614" s="92">
        <f>'LABOR SHEET'!C$16</f>
        <v>20</v>
      </c>
      <c r="L614" s="93">
        <f t="shared" si="775"/>
        <v>66</v>
      </c>
      <c r="M614" s="93">
        <f t="shared" si="776"/>
        <v>132</v>
      </c>
      <c r="N614" s="93">
        <v>1050</v>
      </c>
      <c r="O614" s="93">
        <f t="shared" si="777"/>
        <v>2100</v>
      </c>
      <c r="P614" s="93">
        <f t="shared" si="778"/>
        <v>1116</v>
      </c>
      <c r="Q614" s="112">
        <f t="shared" si="779"/>
        <v>2232</v>
      </c>
    </row>
    <row r="615" spans="1:36" s="30" customFormat="1">
      <c r="A615" s="55">
        <f>IF(F615&lt;&gt;"",1+MAX($A$2:A614),"")</f>
        <v>452</v>
      </c>
      <c r="B615" s="207"/>
      <c r="C615" s="208"/>
      <c r="D615" s="155" t="s">
        <v>458</v>
      </c>
      <c r="E615" s="159">
        <v>1</v>
      </c>
      <c r="F615" s="124">
        <v>0</v>
      </c>
      <c r="G615" s="64">
        <f t="shared" si="773"/>
        <v>1</v>
      </c>
      <c r="H615" s="58" t="s">
        <v>124</v>
      </c>
      <c r="I615" s="90">
        <v>3</v>
      </c>
      <c r="J615" s="91">
        <f t="shared" si="774"/>
        <v>3</v>
      </c>
      <c r="K615" s="92">
        <f>'LABOR SHEET'!C$16</f>
        <v>20</v>
      </c>
      <c r="L615" s="93">
        <f t="shared" si="775"/>
        <v>60</v>
      </c>
      <c r="M615" s="93">
        <f t="shared" si="776"/>
        <v>60</v>
      </c>
      <c r="N615" s="93">
        <v>645.79999999999995</v>
      </c>
      <c r="O615" s="93">
        <f t="shared" si="777"/>
        <v>645.79999999999995</v>
      </c>
      <c r="P615" s="93">
        <f t="shared" si="778"/>
        <v>705.8</v>
      </c>
      <c r="Q615" s="112">
        <f t="shared" si="779"/>
        <v>705.8</v>
      </c>
    </row>
    <row r="616" spans="1:36" s="30" customFormat="1">
      <c r="A616" s="55">
        <f>IF(F616&lt;&gt;"",1+MAX($A$2:A615),"")</f>
        <v>453</v>
      </c>
      <c r="B616" s="207"/>
      <c r="C616" s="208"/>
      <c r="D616" s="155" t="s">
        <v>459</v>
      </c>
      <c r="E616" s="159">
        <v>3</v>
      </c>
      <c r="F616" s="124">
        <v>0</v>
      </c>
      <c r="G616" s="64">
        <f t="shared" si="773"/>
        <v>3</v>
      </c>
      <c r="H616" s="58" t="s">
        <v>124</v>
      </c>
      <c r="I616" s="90">
        <v>2.2000000000000002</v>
      </c>
      <c r="J616" s="91">
        <f t="shared" si="774"/>
        <v>6.6</v>
      </c>
      <c r="K616" s="92">
        <f>'LABOR SHEET'!C$16</f>
        <v>20</v>
      </c>
      <c r="L616" s="93">
        <f t="shared" si="775"/>
        <v>44</v>
      </c>
      <c r="M616" s="93">
        <f t="shared" si="776"/>
        <v>132</v>
      </c>
      <c r="N616" s="93">
        <v>195</v>
      </c>
      <c r="O616" s="93">
        <f t="shared" si="777"/>
        <v>585</v>
      </c>
      <c r="P616" s="93">
        <f t="shared" si="778"/>
        <v>239</v>
      </c>
      <c r="Q616" s="112">
        <f t="shared" si="779"/>
        <v>717</v>
      </c>
    </row>
    <row r="617" spans="1:36" s="30" customFormat="1">
      <c r="A617" s="55">
        <f>IF(F617&lt;&gt;"",1+MAX($A$2:A616),"")</f>
        <v>454</v>
      </c>
      <c r="B617" s="207"/>
      <c r="C617" s="208"/>
      <c r="D617" s="155" t="s">
        <v>460</v>
      </c>
      <c r="E617" s="159">
        <v>2</v>
      </c>
      <c r="F617" s="124">
        <v>0</v>
      </c>
      <c r="G617" s="64">
        <f t="shared" si="773"/>
        <v>2</v>
      </c>
      <c r="H617" s="58" t="s">
        <v>124</v>
      </c>
      <c r="I617" s="90">
        <v>2.6</v>
      </c>
      <c r="J617" s="91">
        <f t="shared" si="774"/>
        <v>5.2</v>
      </c>
      <c r="K617" s="92">
        <f>'LABOR SHEET'!C$16</f>
        <v>20</v>
      </c>
      <c r="L617" s="93">
        <f t="shared" si="775"/>
        <v>52</v>
      </c>
      <c r="M617" s="93">
        <f t="shared" si="776"/>
        <v>104</v>
      </c>
      <c r="N617" s="93">
        <v>320</v>
      </c>
      <c r="O617" s="93">
        <f t="shared" si="777"/>
        <v>640</v>
      </c>
      <c r="P617" s="93">
        <f t="shared" si="778"/>
        <v>372</v>
      </c>
      <c r="Q617" s="112">
        <f t="shared" si="779"/>
        <v>744</v>
      </c>
    </row>
    <row r="618" spans="1:36" s="30" customFormat="1">
      <c r="A618" s="55">
        <f>IF(F618&lt;&gt;"",1+MAX($A$2:A617),"")</f>
        <v>455</v>
      </c>
      <c r="B618" s="207"/>
      <c r="C618" s="208"/>
      <c r="D618" s="155" t="s">
        <v>461</v>
      </c>
      <c r="E618" s="159">
        <v>3</v>
      </c>
      <c r="F618" s="124">
        <v>0</v>
      </c>
      <c r="G618" s="64">
        <f t="shared" si="773"/>
        <v>3</v>
      </c>
      <c r="H618" s="58" t="s">
        <v>124</v>
      </c>
      <c r="I618" s="90">
        <v>4</v>
      </c>
      <c r="J618" s="91">
        <f t="shared" si="774"/>
        <v>12</v>
      </c>
      <c r="K618" s="92">
        <f>'LABOR SHEET'!C$16</f>
        <v>20</v>
      </c>
      <c r="L618" s="93">
        <f t="shared" si="775"/>
        <v>80</v>
      </c>
      <c r="M618" s="93">
        <f t="shared" si="776"/>
        <v>240</v>
      </c>
      <c r="N618" s="93">
        <v>1200</v>
      </c>
      <c r="O618" s="93">
        <f t="shared" si="777"/>
        <v>3600</v>
      </c>
      <c r="P618" s="93">
        <f t="shared" si="778"/>
        <v>1280</v>
      </c>
      <c r="Q618" s="112">
        <f t="shared" si="779"/>
        <v>3840</v>
      </c>
    </row>
    <row r="619" spans="1:36" s="30" customFormat="1">
      <c r="A619" s="55">
        <f>IF(F619&lt;&gt;"",1+MAX($A$2:A618),"")</f>
        <v>456</v>
      </c>
      <c r="B619" s="207"/>
      <c r="C619" s="208"/>
      <c r="D619" s="155" t="s">
        <v>462</v>
      </c>
      <c r="E619" s="159">
        <v>2</v>
      </c>
      <c r="F619" s="124">
        <v>0</v>
      </c>
      <c r="G619" s="64">
        <f t="shared" si="773"/>
        <v>2</v>
      </c>
      <c r="H619" s="58" t="s">
        <v>124</v>
      </c>
      <c r="I619" s="90">
        <v>6</v>
      </c>
      <c r="J619" s="91">
        <f t="shared" si="774"/>
        <v>12</v>
      </c>
      <c r="K619" s="92">
        <f>'LABOR SHEET'!C$16</f>
        <v>20</v>
      </c>
      <c r="L619" s="93">
        <f t="shared" si="775"/>
        <v>120</v>
      </c>
      <c r="M619" s="93">
        <f t="shared" si="776"/>
        <v>240</v>
      </c>
      <c r="N619" s="93">
        <v>1634</v>
      </c>
      <c r="O619" s="93">
        <f t="shared" si="777"/>
        <v>3268</v>
      </c>
      <c r="P619" s="93">
        <f t="shared" si="778"/>
        <v>1754</v>
      </c>
      <c r="Q619" s="112">
        <f t="shared" si="779"/>
        <v>3508</v>
      </c>
    </row>
    <row r="620" spans="1:36" s="30" customFormat="1">
      <c r="A620" s="55">
        <f>IF(F620&lt;&gt;"",1+MAX($A$2:A619),"")</f>
        <v>457</v>
      </c>
      <c r="B620" s="207"/>
      <c r="C620" s="208"/>
      <c r="D620" s="155" t="s">
        <v>463</v>
      </c>
      <c r="E620" s="159">
        <v>2</v>
      </c>
      <c r="F620" s="124">
        <v>0</v>
      </c>
      <c r="G620" s="64">
        <f t="shared" si="773"/>
        <v>2</v>
      </c>
      <c r="H620" s="58" t="s">
        <v>124</v>
      </c>
      <c r="I620" s="90">
        <v>4.2</v>
      </c>
      <c r="J620" s="91">
        <f t="shared" si="774"/>
        <v>8.4</v>
      </c>
      <c r="K620" s="92">
        <f>'LABOR SHEET'!C$16</f>
        <v>20</v>
      </c>
      <c r="L620" s="93">
        <f t="shared" si="775"/>
        <v>84</v>
      </c>
      <c r="M620" s="93">
        <f t="shared" si="776"/>
        <v>168</v>
      </c>
      <c r="N620" s="93">
        <v>699</v>
      </c>
      <c r="O620" s="93">
        <f t="shared" si="777"/>
        <v>1398</v>
      </c>
      <c r="P620" s="93">
        <f t="shared" si="778"/>
        <v>783</v>
      </c>
      <c r="Q620" s="112">
        <f t="shared" si="779"/>
        <v>1566</v>
      </c>
    </row>
    <row r="621" spans="1:36" s="30" customFormat="1">
      <c r="A621" s="55">
        <f>IF(F621&lt;&gt;"",1+MAX($A$2:A620),"")</f>
        <v>458</v>
      </c>
      <c r="B621" s="207"/>
      <c r="C621" s="208"/>
      <c r="D621" s="155" t="s">
        <v>464</v>
      </c>
      <c r="E621" s="159">
        <v>2</v>
      </c>
      <c r="F621" s="124">
        <v>0</v>
      </c>
      <c r="G621" s="64">
        <f t="shared" si="773"/>
        <v>2</v>
      </c>
      <c r="H621" s="58" t="s">
        <v>124</v>
      </c>
      <c r="I621" s="90">
        <v>6.5</v>
      </c>
      <c r="J621" s="91">
        <f t="shared" si="774"/>
        <v>13</v>
      </c>
      <c r="K621" s="92">
        <f>'LABOR SHEET'!C$16</f>
        <v>20</v>
      </c>
      <c r="L621" s="93">
        <f t="shared" si="775"/>
        <v>130</v>
      </c>
      <c r="M621" s="93">
        <f t="shared" si="776"/>
        <v>260</v>
      </c>
      <c r="N621" s="93">
        <v>1840</v>
      </c>
      <c r="O621" s="93">
        <f t="shared" si="777"/>
        <v>3680</v>
      </c>
      <c r="P621" s="93">
        <f t="shared" si="778"/>
        <v>1970</v>
      </c>
      <c r="Q621" s="112">
        <f t="shared" si="779"/>
        <v>3940</v>
      </c>
    </row>
    <row r="622" spans="1:36" s="30" customFormat="1">
      <c r="A622" s="55">
        <f>IF(F622&lt;&gt;"",1+MAX($A$2:A621),"")</f>
        <v>459</v>
      </c>
      <c r="B622" s="207"/>
      <c r="C622" s="208"/>
      <c r="D622" s="155" t="s">
        <v>465</v>
      </c>
      <c r="E622" s="159">
        <v>1</v>
      </c>
      <c r="F622" s="124">
        <v>0</v>
      </c>
      <c r="G622" s="64">
        <f t="shared" si="773"/>
        <v>1</v>
      </c>
      <c r="H622" s="58" t="s">
        <v>124</v>
      </c>
      <c r="I622" s="90">
        <v>4.5</v>
      </c>
      <c r="J622" s="91">
        <f t="shared" si="774"/>
        <v>4.5</v>
      </c>
      <c r="K622" s="92">
        <f>'LABOR SHEET'!C$16</f>
        <v>20</v>
      </c>
      <c r="L622" s="93">
        <f t="shared" si="775"/>
        <v>90</v>
      </c>
      <c r="M622" s="93">
        <f t="shared" si="776"/>
        <v>90</v>
      </c>
      <c r="N622" s="93">
        <v>1749</v>
      </c>
      <c r="O622" s="93">
        <f t="shared" si="777"/>
        <v>1749</v>
      </c>
      <c r="P622" s="93">
        <f t="shared" si="778"/>
        <v>1839</v>
      </c>
      <c r="Q622" s="112">
        <f t="shared" si="779"/>
        <v>1839</v>
      </c>
    </row>
    <row r="623" spans="1:36" s="30" customFormat="1">
      <c r="A623" s="55">
        <f>IF(F623&lt;&gt;"",1+MAX($A$2:A622),"")</f>
        <v>460</v>
      </c>
      <c r="B623" s="207"/>
      <c r="C623" s="208"/>
      <c r="D623" s="155" t="s">
        <v>466</v>
      </c>
      <c r="E623" s="159">
        <v>1</v>
      </c>
      <c r="F623" s="124">
        <v>0</v>
      </c>
      <c r="G623" s="64">
        <f t="shared" si="773"/>
        <v>1</v>
      </c>
      <c r="H623" s="58" t="s">
        <v>124</v>
      </c>
      <c r="I623" s="90">
        <v>10</v>
      </c>
      <c r="J623" s="91">
        <f t="shared" si="774"/>
        <v>10</v>
      </c>
      <c r="K623" s="92">
        <f>'LABOR SHEET'!C$16</f>
        <v>20</v>
      </c>
      <c r="L623" s="93">
        <f t="shared" si="775"/>
        <v>200</v>
      </c>
      <c r="M623" s="93">
        <f t="shared" si="776"/>
        <v>200</v>
      </c>
      <c r="N623" s="93">
        <v>2999</v>
      </c>
      <c r="O623" s="93">
        <f t="shared" si="777"/>
        <v>2999</v>
      </c>
      <c r="P623" s="93">
        <f t="shared" si="778"/>
        <v>3199</v>
      </c>
      <c r="Q623" s="112">
        <f t="shared" si="779"/>
        <v>3199</v>
      </c>
    </row>
    <row r="624" spans="1:36" s="30" customFormat="1">
      <c r="A624" s="55">
        <f>IF(F624&lt;&gt;"",1+MAX($A$2:A623),"")</f>
        <v>461</v>
      </c>
      <c r="B624" s="207"/>
      <c r="C624" s="208"/>
      <c r="D624" s="155" t="s">
        <v>467</v>
      </c>
      <c r="E624" s="159">
        <v>1</v>
      </c>
      <c r="F624" s="124">
        <v>0</v>
      </c>
      <c r="G624" s="64">
        <f t="shared" si="773"/>
        <v>1</v>
      </c>
      <c r="H624" s="58" t="s">
        <v>124</v>
      </c>
      <c r="I624" s="90">
        <v>12</v>
      </c>
      <c r="J624" s="91">
        <f t="shared" si="774"/>
        <v>12</v>
      </c>
      <c r="K624" s="92">
        <f>'LABOR SHEET'!C$16</f>
        <v>20</v>
      </c>
      <c r="L624" s="93">
        <f t="shared" si="775"/>
        <v>240</v>
      </c>
      <c r="M624" s="93">
        <f t="shared" si="776"/>
        <v>240</v>
      </c>
      <c r="N624" s="93">
        <v>4000</v>
      </c>
      <c r="O624" s="93">
        <f t="shared" si="777"/>
        <v>4000</v>
      </c>
      <c r="P624" s="93">
        <f t="shared" si="778"/>
        <v>4240</v>
      </c>
      <c r="Q624" s="112">
        <f t="shared" si="779"/>
        <v>4240</v>
      </c>
    </row>
    <row r="625" spans="1:36" s="30" customFormat="1">
      <c r="A625" s="55">
        <f>IF(F625&lt;&gt;"",1+MAX($A$2:A624),"")</f>
        <v>462</v>
      </c>
      <c r="B625" s="207"/>
      <c r="C625" s="208"/>
      <c r="D625" s="155" t="s">
        <v>468</v>
      </c>
      <c r="E625" s="159">
        <v>1</v>
      </c>
      <c r="F625" s="124">
        <v>0</v>
      </c>
      <c r="G625" s="64">
        <f t="shared" si="773"/>
        <v>1</v>
      </c>
      <c r="H625" s="58" t="s">
        <v>124</v>
      </c>
      <c r="I625" s="90">
        <v>6.5</v>
      </c>
      <c r="J625" s="91">
        <f t="shared" si="774"/>
        <v>6.5</v>
      </c>
      <c r="K625" s="92">
        <f>'LABOR SHEET'!C$16</f>
        <v>20</v>
      </c>
      <c r="L625" s="93">
        <f t="shared" si="775"/>
        <v>130</v>
      </c>
      <c r="M625" s="93">
        <f t="shared" si="776"/>
        <v>130</v>
      </c>
      <c r="N625" s="93">
        <v>1099</v>
      </c>
      <c r="O625" s="93">
        <f t="shared" si="777"/>
        <v>1099</v>
      </c>
      <c r="P625" s="93">
        <f t="shared" si="778"/>
        <v>1229</v>
      </c>
      <c r="Q625" s="112">
        <f t="shared" si="779"/>
        <v>1229</v>
      </c>
    </row>
    <row r="626" spans="1:36" s="30" customFormat="1">
      <c r="A626" s="55">
        <f>IF(F626&lt;&gt;"",1+MAX($A$2:A625),"")</f>
        <v>463</v>
      </c>
      <c r="B626" s="207"/>
      <c r="C626" s="208"/>
      <c r="D626" s="155" t="s">
        <v>469</v>
      </c>
      <c r="E626" s="159">
        <v>1</v>
      </c>
      <c r="F626" s="124">
        <v>0</v>
      </c>
      <c r="G626" s="64">
        <f t="shared" si="773"/>
        <v>1</v>
      </c>
      <c r="H626" s="58" t="s">
        <v>124</v>
      </c>
      <c r="I626" s="90">
        <v>10</v>
      </c>
      <c r="J626" s="91">
        <f t="shared" si="774"/>
        <v>10</v>
      </c>
      <c r="K626" s="92">
        <f>'LABOR SHEET'!C$16</f>
        <v>20</v>
      </c>
      <c r="L626" s="93">
        <f t="shared" si="775"/>
        <v>200</v>
      </c>
      <c r="M626" s="93">
        <f t="shared" si="776"/>
        <v>200</v>
      </c>
      <c r="N626" s="93">
        <v>2999.9</v>
      </c>
      <c r="O626" s="93">
        <f t="shared" si="777"/>
        <v>2999.9</v>
      </c>
      <c r="P626" s="93">
        <f t="shared" si="778"/>
        <v>3199.9</v>
      </c>
      <c r="Q626" s="112">
        <f t="shared" si="779"/>
        <v>3199.9</v>
      </c>
    </row>
    <row r="627" spans="1:36" s="30" customFormat="1">
      <c r="A627" s="55">
        <f>IF(F627&lt;&gt;"",1+MAX($A$2:A626),"")</f>
        <v>464</v>
      </c>
      <c r="B627" s="207"/>
      <c r="C627" s="208"/>
      <c r="D627" s="155" t="s">
        <v>470</v>
      </c>
      <c r="E627" s="159">
        <v>1</v>
      </c>
      <c r="F627" s="124">
        <v>0</v>
      </c>
      <c r="G627" s="64">
        <f t="shared" si="773"/>
        <v>1</v>
      </c>
      <c r="H627" s="58" t="s">
        <v>124</v>
      </c>
      <c r="I627" s="90">
        <v>10</v>
      </c>
      <c r="J627" s="91">
        <f t="shared" si="774"/>
        <v>10</v>
      </c>
      <c r="K627" s="92">
        <f>'LABOR SHEET'!C$16</f>
        <v>20</v>
      </c>
      <c r="L627" s="93">
        <f t="shared" si="775"/>
        <v>200</v>
      </c>
      <c r="M627" s="93">
        <f t="shared" si="776"/>
        <v>200</v>
      </c>
      <c r="N627" s="93">
        <v>1327</v>
      </c>
      <c r="O627" s="93">
        <f t="shared" si="777"/>
        <v>1327</v>
      </c>
      <c r="P627" s="93">
        <f t="shared" si="778"/>
        <v>1527</v>
      </c>
      <c r="Q627" s="112">
        <f t="shared" si="779"/>
        <v>1527</v>
      </c>
    </row>
    <row r="628" spans="1:36" s="30" customFormat="1">
      <c r="A628" s="55">
        <f>IF(F628&lt;&gt;"",1+MAX($A$2:A627),"")</f>
        <v>465</v>
      </c>
      <c r="B628" s="207"/>
      <c r="C628" s="208"/>
      <c r="D628" s="155" t="s">
        <v>471</v>
      </c>
      <c r="E628" s="159">
        <v>1</v>
      </c>
      <c r="F628" s="124">
        <v>0</v>
      </c>
      <c r="G628" s="64">
        <f t="shared" si="773"/>
        <v>1</v>
      </c>
      <c r="H628" s="58" t="s">
        <v>124</v>
      </c>
      <c r="I628" s="90">
        <v>100</v>
      </c>
      <c r="J628" s="91">
        <f t="shared" si="774"/>
        <v>100</v>
      </c>
      <c r="K628" s="92">
        <v>100</v>
      </c>
      <c r="L628" s="93">
        <f t="shared" si="775"/>
        <v>10000</v>
      </c>
      <c r="M628" s="93">
        <f t="shared" si="776"/>
        <v>10000</v>
      </c>
      <c r="N628" s="93">
        <v>17699</v>
      </c>
      <c r="O628" s="93">
        <f t="shared" si="777"/>
        <v>17699</v>
      </c>
      <c r="P628" s="93">
        <f t="shared" si="778"/>
        <v>27699</v>
      </c>
      <c r="Q628" s="112">
        <f t="shared" si="779"/>
        <v>27699</v>
      </c>
    </row>
    <row r="629" spans="1:36" s="30" customFormat="1">
      <c r="A629" s="55" t="str">
        <f>IF(F629&lt;&gt;"",1+MAX($A$2:A628),"")</f>
        <v/>
      </c>
      <c r="B629" s="207"/>
      <c r="C629" s="213"/>
      <c r="D629" s="57"/>
      <c r="E629" s="64"/>
      <c r="F629" s="199"/>
      <c r="G629" s="200"/>
      <c r="H629" s="62"/>
      <c r="I629" s="94"/>
      <c r="J629" s="229"/>
      <c r="K629" s="227"/>
      <c r="L629" s="97"/>
      <c r="M629" s="97"/>
      <c r="N629" s="97"/>
      <c r="O629" s="97"/>
      <c r="P629" s="97"/>
      <c r="Q629" s="137"/>
    </row>
    <row r="630" spans="1:36" s="30" customFormat="1">
      <c r="A630" s="55" t="str">
        <f>IF(F630&lt;&gt;"",1+MAX($A$2:A629),"")</f>
        <v/>
      </c>
      <c r="B630" s="207"/>
      <c r="C630" s="208"/>
      <c r="D630" s="67" t="s">
        <v>58</v>
      </c>
      <c r="E630" s="216"/>
      <c r="F630" s="216"/>
      <c r="G630" s="217"/>
      <c r="H630" s="216"/>
      <c r="I630" s="216"/>
      <c r="J630" s="130"/>
      <c r="K630" s="130"/>
      <c r="L630" s="131"/>
      <c r="M630" s="132"/>
      <c r="N630" s="131"/>
      <c r="O630" s="131"/>
      <c r="P630" s="228"/>
      <c r="Q630" s="106">
        <f>SUM(Q613:Q628)</f>
        <v>62783.7</v>
      </c>
      <c r="S630" s="110"/>
    </row>
    <row r="631" spans="1:36" s="30" customFormat="1">
      <c r="A631" s="55" t="str">
        <f>IF(F631&lt;&gt;"",1+MAX($A$2:A630),"")</f>
        <v/>
      </c>
      <c r="B631" s="219"/>
      <c r="C631" s="219"/>
      <c r="D631" s="219"/>
      <c r="E631" s="219"/>
      <c r="F631" s="219"/>
      <c r="G631" s="219"/>
      <c r="H631" s="219"/>
      <c r="I631" s="219"/>
      <c r="J631" s="219"/>
      <c r="K631" s="219"/>
      <c r="L631" s="219"/>
      <c r="M631" s="219"/>
      <c r="N631" s="219"/>
      <c r="O631" s="219"/>
      <c r="P631" s="219"/>
      <c r="Q631" s="232"/>
      <c r="S631" s="110"/>
    </row>
    <row r="632" spans="1:36" s="30" customFormat="1">
      <c r="A632" s="46" t="str">
        <f>IF(F632&lt;&gt;"",1+MAX($A$2:A631),"")</f>
        <v/>
      </c>
      <c r="B632" s="46"/>
      <c r="C632" s="46">
        <v>12</v>
      </c>
      <c r="D632" s="48" t="s">
        <v>472</v>
      </c>
      <c r="E632" s="46"/>
      <c r="F632" s="46"/>
      <c r="G632" s="46"/>
      <c r="H632" s="46"/>
      <c r="I632" s="46"/>
      <c r="J632" s="46"/>
      <c r="K632" s="46"/>
      <c r="L632" s="46" t="s">
        <v>309</v>
      </c>
      <c r="M632" s="46"/>
      <c r="N632" s="46"/>
      <c r="O632" s="46"/>
      <c r="P632" s="46"/>
      <c r="Q632" s="109"/>
      <c r="S632" s="110"/>
    </row>
    <row r="633" spans="1:36" s="30" customFormat="1">
      <c r="A633" s="55" t="str">
        <f>IF(F633&lt;&gt;"",1+MAX($A$2:A632),"")</f>
        <v/>
      </c>
      <c r="B633" s="220"/>
      <c r="C633" s="60"/>
      <c r="D633" s="209" t="s">
        <v>473</v>
      </c>
      <c r="E633" s="58"/>
      <c r="F633" s="58"/>
      <c r="G633" s="58"/>
      <c r="H633" s="58"/>
      <c r="I633" s="208"/>
      <c r="J633" s="208"/>
      <c r="K633" s="208"/>
      <c r="L633" s="93"/>
      <c r="M633" s="93"/>
      <c r="N633" s="93"/>
      <c r="O633" s="93"/>
      <c r="P633" s="93"/>
      <c r="Q633" s="111"/>
      <c r="R633" s="195"/>
      <c r="S633" s="195"/>
      <c r="T633" s="195"/>
      <c r="U633" s="195"/>
      <c r="V633" s="195"/>
      <c r="W633" s="195"/>
      <c r="X633" s="195"/>
      <c r="Y633" s="195"/>
      <c r="Z633" s="195"/>
      <c r="AA633" s="195"/>
      <c r="AB633" s="195"/>
      <c r="AC633" s="195"/>
      <c r="AD633" s="195"/>
      <c r="AE633" s="195"/>
      <c r="AF633" s="195"/>
      <c r="AG633" s="195"/>
      <c r="AH633" s="195"/>
      <c r="AI633" s="195"/>
      <c r="AJ633" s="195"/>
    </row>
    <row r="634" spans="1:36" s="30" customFormat="1">
      <c r="A634" s="55">
        <f>IF(F634&lt;&gt;"",1+MAX($A$2:A633),"")</f>
        <v>466</v>
      </c>
      <c r="B634" s="220"/>
      <c r="C634" s="60"/>
      <c r="D634" s="155" t="s">
        <v>474</v>
      </c>
      <c r="E634" s="156">
        <v>49.04</v>
      </c>
      <c r="F634" s="124">
        <v>0.05</v>
      </c>
      <c r="G634" s="64">
        <f t="shared" ref="G634:G636" si="780">(F634*E634)+E634</f>
        <v>51.491999999999997</v>
      </c>
      <c r="H634" s="58" t="s">
        <v>119</v>
      </c>
      <c r="I634" s="90">
        <v>0.46</v>
      </c>
      <c r="J634" s="91">
        <f t="shared" ref="J634" si="781">+I634*G634</f>
        <v>23.686319999999998</v>
      </c>
      <c r="K634" s="92">
        <f>'LABOR SHEET'!C$9</f>
        <v>30</v>
      </c>
      <c r="L634" s="93">
        <f t="shared" ref="L634" si="782">I634*K634</f>
        <v>13.8</v>
      </c>
      <c r="M634" s="93">
        <f t="shared" ref="M634" si="783">K634*J634</f>
        <v>710.58960000000002</v>
      </c>
      <c r="N634" s="93">
        <v>42.6</v>
      </c>
      <c r="O634" s="93">
        <f t="shared" ref="O634" si="784">N634*G634</f>
        <v>2193.5592000000001</v>
      </c>
      <c r="P634" s="93">
        <f t="shared" ref="P634" si="785">(I634*K634)+N634</f>
        <v>56.4</v>
      </c>
      <c r="Q634" s="112">
        <f t="shared" ref="Q634" si="786">P634*G634</f>
        <v>2904.1487999999999</v>
      </c>
      <c r="R634" s="195"/>
      <c r="S634" s="195"/>
      <c r="T634" s="195"/>
      <c r="U634" s="195"/>
      <c r="V634" s="195"/>
      <c r="W634" s="195"/>
      <c r="X634" s="195"/>
      <c r="Y634" s="195"/>
      <c r="Z634" s="195"/>
      <c r="AA634" s="195"/>
      <c r="AB634" s="195"/>
      <c r="AC634" s="195"/>
      <c r="AD634" s="195"/>
      <c r="AE634" s="195"/>
      <c r="AF634" s="195"/>
      <c r="AG634" s="195"/>
      <c r="AH634" s="195"/>
      <c r="AI634" s="195"/>
      <c r="AJ634" s="195"/>
    </row>
    <row r="635" spans="1:36" s="30" customFormat="1">
      <c r="A635" s="55">
        <f>IF(F635&lt;&gt;"",1+MAX($A$2:A634),"")</f>
        <v>467</v>
      </c>
      <c r="B635" s="220"/>
      <c r="C635" s="60"/>
      <c r="D635" s="155" t="s">
        <v>475</v>
      </c>
      <c r="E635" s="156">
        <v>56</v>
      </c>
      <c r="F635" s="124">
        <v>0.05</v>
      </c>
      <c r="G635" s="64">
        <f t="shared" si="780"/>
        <v>58.8</v>
      </c>
      <c r="H635" s="58" t="s">
        <v>119</v>
      </c>
      <c r="I635" s="90">
        <v>0.42</v>
      </c>
      <c r="J635" s="91">
        <f t="shared" ref="J635:J636" si="787">+I635*G635</f>
        <v>24.696000000000002</v>
      </c>
      <c r="K635" s="92">
        <f>'LABOR SHEET'!C$9</f>
        <v>30</v>
      </c>
      <c r="L635" s="93">
        <f t="shared" ref="L635:L636" si="788">I635*K635</f>
        <v>12.6</v>
      </c>
      <c r="M635" s="93">
        <f t="shared" ref="M635:M636" si="789">K635*J635</f>
        <v>740.88</v>
      </c>
      <c r="N635" s="93">
        <v>38</v>
      </c>
      <c r="O635" s="93">
        <f t="shared" ref="O635:O636" si="790">N635*G635</f>
        <v>2234.4</v>
      </c>
      <c r="P635" s="93">
        <f t="shared" ref="P635:P636" si="791">(I635*K635)+N635</f>
        <v>50.6</v>
      </c>
      <c r="Q635" s="112">
        <f t="shared" ref="Q635:Q636" si="792">P635*G635</f>
        <v>2975.28</v>
      </c>
      <c r="R635" s="195"/>
      <c r="S635" s="195"/>
      <c r="T635" s="195"/>
      <c r="U635" s="195"/>
      <c r="V635" s="195"/>
      <c r="W635" s="195"/>
      <c r="X635" s="195"/>
      <c r="Y635" s="195"/>
      <c r="Z635" s="195"/>
      <c r="AA635" s="195"/>
      <c r="AB635" s="195"/>
      <c r="AC635" s="195"/>
      <c r="AD635" s="195"/>
      <c r="AE635" s="195"/>
      <c r="AF635" s="195"/>
      <c r="AG635" s="195"/>
      <c r="AH635" s="195"/>
      <c r="AI635" s="195"/>
      <c r="AJ635" s="195"/>
    </row>
    <row r="636" spans="1:36" s="30" customFormat="1">
      <c r="A636" s="55">
        <f>IF(F636&lt;&gt;"",1+MAX($A$2:A635),"")</f>
        <v>468</v>
      </c>
      <c r="B636" s="220"/>
      <c r="C636" s="60"/>
      <c r="D636" s="155" t="s">
        <v>476</v>
      </c>
      <c r="E636" s="156">
        <v>76.64</v>
      </c>
      <c r="F636" s="124">
        <v>0.05</v>
      </c>
      <c r="G636" s="64">
        <f t="shared" si="780"/>
        <v>80.471999999999994</v>
      </c>
      <c r="H636" s="58" t="s">
        <v>119</v>
      </c>
      <c r="I636" s="90">
        <v>0.36</v>
      </c>
      <c r="J636" s="91">
        <f t="shared" si="787"/>
        <v>28.969919999999998</v>
      </c>
      <c r="K636" s="92">
        <f>'LABOR SHEET'!C$9</f>
        <v>30</v>
      </c>
      <c r="L636" s="93">
        <f t="shared" si="788"/>
        <v>10.8</v>
      </c>
      <c r="M636" s="93">
        <f t="shared" si="789"/>
        <v>869.09760000000006</v>
      </c>
      <c r="N636" s="93">
        <v>36.6</v>
      </c>
      <c r="O636" s="93">
        <f t="shared" si="790"/>
        <v>2945.2752</v>
      </c>
      <c r="P636" s="93">
        <f t="shared" si="791"/>
        <v>47.4</v>
      </c>
      <c r="Q636" s="112">
        <f t="shared" si="792"/>
        <v>3814.3728000000001</v>
      </c>
      <c r="R636" s="195"/>
      <c r="S636" s="195"/>
      <c r="T636" s="195"/>
      <c r="U636" s="195"/>
      <c r="V636" s="195"/>
      <c r="W636" s="195"/>
      <c r="X636" s="195"/>
      <c r="Y636" s="195"/>
      <c r="Z636" s="195"/>
      <c r="AA636" s="195"/>
      <c r="AB636" s="195"/>
      <c r="AC636" s="195"/>
      <c r="AD636" s="195"/>
      <c r="AE636" s="195"/>
      <c r="AF636" s="195"/>
      <c r="AG636" s="195"/>
      <c r="AH636" s="195"/>
      <c r="AI636" s="195"/>
      <c r="AJ636" s="195"/>
    </row>
    <row r="637" spans="1:36" s="30" customFormat="1">
      <c r="A637" s="55" t="str">
        <f>IF(F637&lt;&gt;"",1+MAX($A$2:A636),"")</f>
        <v/>
      </c>
      <c r="B637" s="220"/>
      <c r="C637" s="60"/>
      <c r="D637" s="221"/>
      <c r="E637" s="58"/>
      <c r="F637" s="58"/>
      <c r="G637" s="58"/>
      <c r="H637" s="58"/>
      <c r="I637" s="208"/>
      <c r="J637" s="208"/>
      <c r="K637" s="208"/>
      <c r="L637" s="93"/>
      <c r="M637" s="93"/>
      <c r="N637" s="93"/>
      <c r="O637" s="93"/>
      <c r="P637" s="93"/>
      <c r="Q637" s="111"/>
      <c r="R637" s="195"/>
      <c r="S637" s="195"/>
      <c r="T637" s="195"/>
      <c r="U637" s="195"/>
      <c r="V637" s="195"/>
      <c r="W637" s="195"/>
      <c r="X637" s="195"/>
      <c r="Y637" s="195"/>
      <c r="Z637" s="195"/>
      <c r="AA637" s="195"/>
      <c r="AB637" s="195"/>
      <c r="AC637" s="195"/>
      <c r="AD637" s="195"/>
      <c r="AE637" s="195"/>
      <c r="AF637" s="195"/>
      <c r="AG637" s="195"/>
      <c r="AH637" s="195"/>
      <c r="AI637" s="195"/>
      <c r="AJ637" s="195"/>
    </row>
    <row r="638" spans="1:36" s="30" customFormat="1">
      <c r="A638" s="55" t="str">
        <f>IF(F638&lt;&gt;"",1+MAX($A$2:A637),"")</f>
        <v/>
      </c>
      <c r="B638" s="220"/>
      <c r="C638" s="60"/>
      <c r="D638" s="209" t="s">
        <v>477</v>
      </c>
      <c r="E638" s="58"/>
      <c r="F638" s="58"/>
      <c r="G638" s="58"/>
      <c r="H638" s="58"/>
      <c r="I638" s="208"/>
      <c r="J638" s="208"/>
      <c r="K638" s="208"/>
      <c r="L638" s="93"/>
      <c r="M638" s="93"/>
      <c r="N638" s="93"/>
      <c r="O638" s="93"/>
      <c r="P638" s="93"/>
      <c r="Q638" s="111"/>
      <c r="R638" s="195"/>
      <c r="S638" s="195"/>
      <c r="T638" s="195"/>
      <c r="U638" s="195"/>
      <c r="V638" s="195"/>
      <c r="W638" s="195"/>
      <c r="X638" s="195"/>
      <c r="Y638" s="195"/>
      <c r="Z638" s="195"/>
      <c r="AA638" s="195"/>
      <c r="AB638" s="195"/>
      <c r="AC638" s="195"/>
      <c r="AD638" s="195"/>
      <c r="AE638" s="195"/>
      <c r="AF638" s="195"/>
      <c r="AG638" s="195"/>
      <c r="AH638" s="195"/>
      <c r="AI638" s="195"/>
      <c r="AJ638" s="195"/>
    </row>
    <row r="639" spans="1:36" s="30" customFormat="1">
      <c r="A639" s="55">
        <f>IF(F639&lt;&gt;"",1+MAX($A$2:A638),"")</f>
        <v>469</v>
      </c>
      <c r="B639" s="220"/>
      <c r="C639" s="60"/>
      <c r="D639" s="155" t="s">
        <v>478</v>
      </c>
      <c r="E639" s="156">
        <v>123.8</v>
      </c>
      <c r="F639" s="124">
        <v>0.05</v>
      </c>
      <c r="G639" s="64">
        <f t="shared" ref="G639:G645" si="793">(F639*E639)+E639</f>
        <v>129.99</v>
      </c>
      <c r="H639" s="58" t="s">
        <v>119</v>
      </c>
      <c r="I639" s="90">
        <v>3.7999999999999999E-2</v>
      </c>
      <c r="J639" s="91">
        <f t="shared" ref="J639:J645" si="794">+I639*G639</f>
        <v>4.9396199999999997</v>
      </c>
      <c r="K639" s="92">
        <f>'LABOR SHEET'!C$9</f>
        <v>30</v>
      </c>
      <c r="L639" s="93">
        <f t="shared" ref="L639:L645" si="795">I639*K639</f>
        <v>1.1399999999999999</v>
      </c>
      <c r="M639" s="93">
        <f t="shared" ref="M639:M645" si="796">K639*J639</f>
        <v>148.18860000000001</v>
      </c>
      <c r="N639" s="93">
        <v>18.5</v>
      </c>
      <c r="O639" s="93">
        <f t="shared" ref="O639:O645" si="797">N639*G639</f>
        <v>2404.8150000000001</v>
      </c>
      <c r="P639" s="93">
        <f t="shared" ref="P639:P645" si="798">(I639*K639)+N639</f>
        <v>19.64</v>
      </c>
      <c r="Q639" s="112">
        <f t="shared" ref="Q639:Q645" si="799">P639*G639</f>
        <v>2553.0036</v>
      </c>
      <c r="R639" s="195"/>
      <c r="S639" s="195"/>
      <c r="T639" s="195"/>
      <c r="U639" s="195"/>
      <c r="V639" s="195"/>
      <c r="W639" s="195"/>
      <c r="X639" s="195"/>
      <c r="Y639" s="195"/>
      <c r="Z639" s="195"/>
      <c r="AA639" s="195"/>
      <c r="AB639" s="195"/>
      <c r="AC639" s="195"/>
      <c r="AD639" s="195"/>
      <c r="AE639" s="195"/>
      <c r="AF639" s="195"/>
      <c r="AG639" s="195"/>
      <c r="AH639" s="195"/>
      <c r="AI639" s="195"/>
      <c r="AJ639" s="195"/>
    </row>
    <row r="640" spans="1:36" s="30" customFormat="1">
      <c r="A640" s="55">
        <f>IF(F640&lt;&gt;"",1+MAX($A$2:A639),"")</f>
        <v>470</v>
      </c>
      <c r="B640" s="220"/>
      <c r="C640" s="60"/>
      <c r="D640" s="155" t="s">
        <v>479</v>
      </c>
      <c r="E640" s="156">
        <v>159.27000000000001</v>
      </c>
      <c r="F640" s="124">
        <v>0.1</v>
      </c>
      <c r="G640" s="64">
        <f t="shared" si="793"/>
        <v>175.197</v>
      </c>
      <c r="H640" s="58" t="s">
        <v>67</v>
      </c>
      <c r="I640" s="90">
        <v>0.66700000000000004</v>
      </c>
      <c r="J640" s="91">
        <f t="shared" si="794"/>
        <v>116.856399</v>
      </c>
      <c r="K640" s="92">
        <f>'LABOR SHEET'!C$9</f>
        <v>30</v>
      </c>
      <c r="L640" s="93">
        <f t="shared" si="795"/>
        <v>20.010000000000002</v>
      </c>
      <c r="M640" s="93">
        <f t="shared" si="796"/>
        <v>3505.6919699999999</v>
      </c>
      <c r="N640" s="93">
        <v>80</v>
      </c>
      <c r="O640" s="93">
        <f t="shared" si="797"/>
        <v>14015.76</v>
      </c>
      <c r="P640" s="93">
        <f t="shared" si="798"/>
        <v>100.01</v>
      </c>
      <c r="Q640" s="112">
        <f t="shared" si="799"/>
        <v>17521.451969999998</v>
      </c>
      <c r="R640" s="195"/>
      <c r="S640" s="195"/>
      <c r="T640" s="195"/>
      <c r="U640" s="195"/>
      <c r="V640" s="195"/>
      <c r="W640" s="195"/>
      <c r="X640" s="195"/>
      <c r="Y640" s="195"/>
      <c r="Z640" s="195"/>
      <c r="AA640" s="195"/>
      <c r="AB640" s="195"/>
      <c r="AC640" s="195"/>
      <c r="AD640" s="195"/>
      <c r="AE640" s="195"/>
      <c r="AF640" s="195"/>
      <c r="AG640" s="195"/>
      <c r="AH640" s="195"/>
      <c r="AI640" s="195"/>
      <c r="AJ640" s="195"/>
    </row>
    <row r="641" spans="1:36" s="30" customFormat="1">
      <c r="A641" s="55">
        <f>IF(F641&lt;&gt;"",1+MAX($A$2:A640),"")</f>
        <v>471</v>
      </c>
      <c r="B641" s="220"/>
      <c r="C641" s="60"/>
      <c r="D641" s="155" t="s">
        <v>480</v>
      </c>
      <c r="E641" s="156">
        <v>199.88</v>
      </c>
      <c r="F641" s="124">
        <v>0.1</v>
      </c>
      <c r="G641" s="64">
        <f t="shared" si="793"/>
        <v>219.86799999999999</v>
      </c>
      <c r="H641" s="58" t="s">
        <v>67</v>
      </c>
      <c r="I641" s="90">
        <v>0.66700000000000004</v>
      </c>
      <c r="J641" s="91">
        <f t="shared" si="794"/>
        <v>146.65195600000001</v>
      </c>
      <c r="K641" s="92">
        <f>'LABOR SHEET'!C$9</f>
        <v>30</v>
      </c>
      <c r="L641" s="93">
        <f t="shared" si="795"/>
        <v>20.010000000000002</v>
      </c>
      <c r="M641" s="93">
        <f t="shared" si="796"/>
        <v>4399.5586800000001</v>
      </c>
      <c r="N641" s="93">
        <v>80</v>
      </c>
      <c r="O641" s="93">
        <f t="shared" si="797"/>
        <v>17589.439999999999</v>
      </c>
      <c r="P641" s="93">
        <f t="shared" si="798"/>
        <v>100.01</v>
      </c>
      <c r="Q641" s="112">
        <f t="shared" si="799"/>
        <v>21988.998680000001</v>
      </c>
      <c r="R641" s="195"/>
      <c r="S641" s="195"/>
      <c r="T641" s="195"/>
      <c r="U641" s="195"/>
      <c r="V641" s="195"/>
      <c r="W641" s="195"/>
      <c r="X641" s="195"/>
      <c r="Y641" s="195"/>
      <c r="Z641" s="195"/>
      <c r="AA641" s="195"/>
      <c r="AB641" s="195"/>
      <c r="AC641" s="195"/>
      <c r="AD641" s="195"/>
      <c r="AE641" s="195"/>
      <c r="AF641" s="195"/>
      <c r="AG641" s="195"/>
      <c r="AH641" s="195"/>
      <c r="AI641" s="195"/>
      <c r="AJ641" s="195"/>
    </row>
    <row r="642" spans="1:36" s="30" customFormat="1">
      <c r="A642" s="55">
        <f>IF(F642&lt;&gt;"",1+MAX($A$2:A641),"")</f>
        <v>472</v>
      </c>
      <c r="B642" s="220"/>
      <c r="C642" s="208"/>
      <c r="D642" s="155" t="s">
        <v>481</v>
      </c>
      <c r="E642" s="156">
        <v>52.95</v>
      </c>
      <c r="F642" s="124">
        <v>0.1</v>
      </c>
      <c r="G642" s="64">
        <f t="shared" si="793"/>
        <v>58.244999999999997</v>
      </c>
      <c r="H642" s="58" t="s">
        <v>67</v>
      </c>
      <c r="I642" s="90">
        <v>0.66700000000000004</v>
      </c>
      <c r="J642" s="91">
        <f t="shared" si="794"/>
        <v>38.849415</v>
      </c>
      <c r="K642" s="92">
        <f>'LABOR SHEET'!C$9</f>
        <v>30</v>
      </c>
      <c r="L642" s="93">
        <f t="shared" si="795"/>
        <v>20.010000000000002</v>
      </c>
      <c r="M642" s="93">
        <f t="shared" si="796"/>
        <v>1165.48245</v>
      </c>
      <c r="N642" s="93">
        <v>80</v>
      </c>
      <c r="O642" s="93">
        <f t="shared" si="797"/>
        <v>4659.6000000000004</v>
      </c>
      <c r="P642" s="93">
        <f t="shared" si="798"/>
        <v>100.01</v>
      </c>
      <c r="Q642" s="112">
        <f t="shared" si="799"/>
        <v>5825.0824499999999</v>
      </c>
    </row>
    <row r="643" spans="1:36" s="30" customFormat="1">
      <c r="A643" s="55">
        <f>IF(F643&lt;&gt;"",1+MAX($A$2:A642),"")</f>
        <v>473</v>
      </c>
      <c r="B643" s="220"/>
      <c r="C643" s="60"/>
      <c r="D643" s="155" t="s">
        <v>482</v>
      </c>
      <c r="E643" s="156">
        <v>125.74</v>
      </c>
      <c r="F643" s="124">
        <v>0.1</v>
      </c>
      <c r="G643" s="64">
        <f t="shared" si="793"/>
        <v>138.31399999999999</v>
      </c>
      <c r="H643" s="58" t="s">
        <v>67</v>
      </c>
      <c r="I643" s="90">
        <v>0.66200000000000003</v>
      </c>
      <c r="J643" s="91">
        <f t="shared" si="794"/>
        <v>91.563867999999999</v>
      </c>
      <c r="K643" s="92">
        <f>'LABOR SHEET'!C$9</f>
        <v>30</v>
      </c>
      <c r="L643" s="93">
        <f t="shared" si="795"/>
        <v>19.86</v>
      </c>
      <c r="M643" s="93">
        <f t="shared" si="796"/>
        <v>2746.9160400000001</v>
      </c>
      <c r="N643" s="93">
        <v>75</v>
      </c>
      <c r="O643" s="93">
        <f t="shared" si="797"/>
        <v>10373.549999999999</v>
      </c>
      <c r="P643" s="93">
        <f t="shared" si="798"/>
        <v>94.86</v>
      </c>
      <c r="Q643" s="112">
        <f t="shared" si="799"/>
        <v>13120.466039999999</v>
      </c>
      <c r="R643" s="195"/>
      <c r="S643" s="195"/>
      <c r="T643" s="195"/>
      <c r="U643" s="195"/>
      <c r="V643" s="195"/>
      <c r="W643" s="195"/>
      <c r="X643" s="195"/>
      <c r="Y643" s="195"/>
      <c r="Z643" s="195"/>
      <c r="AA643" s="195"/>
      <c r="AB643" s="195"/>
      <c r="AC643" s="195"/>
      <c r="AD643" s="195"/>
      <c r="AE643" s="195"/>
      <c r="AF643" s="195"/>
      <c r="AG643" s="195"/>
      <c r="AH643" s="195"/>
      <c r="AI643" s="195"/>
      <c r="AJ643" s="195"/>
    </row>
    <row r="644" spans="1:36" s="30" customFormat="1">
      <c r="A644" s="55">
        <f>IF(F644&lt;&gt;"",1+MAX($A$2:A643),"")</f>
        <v>474</v>
      </c>
      <c r="B644" s="220"/>
      <c r="C644" s="208"/>
      <c r="D644" s="155" t="s">
        <v>483</v>
      </c>
      <c r="E644" s="156">
        <v>40.9</v>
      </c>
      <c r="F644" s="124">
        <v>0.1</v>
      </c>
      <c r="G644" s="64">
        <f t="shared" si="793"/>
        <v>44.99</v>
      </c>
      <c r="H644" s="58" t="s">
        <v>67</v>
      </c>
      <c r="I644" s="90">
        <v>0.66200000000000003</v>
      </c>
      <c r="J644" s="91">
        <f t="shared" si="794"/>
        <v>29.783380000000001</v>
      </c>
      <c r="K644" s="92">
        <f>'LABOR SHEET'!C$9</f>
        <v>30</v>
      </c>
      <c r="L644" s="93">
        <f t="shared" si="795"/>
        <v>19.86</v>
      </c>
      <c r="M644" s="93">
        <f t="shared" si="796"/>
        <v>893.50139999999999</v>
      </c>
      <c r="N644" s="93">
        <v>75</v>
      </c>
      <c r="O644" s="93">
        <f t="shared" si="797"/>
        <v>3374.25</v>
      </c>
      <c r="P644" s="93">
        <f t="shared" si="798"/>
        <v>94.86</v>
      </c>
      <c r="Q644" s="112">
        <f t="shared" si="799"/>
        <v>4267.7514000000001</v>
      </c>
    </row>
    <row r="645" spans="1:36" s="30" customFormat="1">
      <c r="A645" s="55">
        <f>IF(F645&lt;&gt;"",1+MAX($A$2:A644),"")</f>
        <v>475</v>
      </c>
      <c r="B645" s="220"/>
      <c r="C645" s="208"/>
      <c r="D645" s="155" t="s">
        <v>484</v>
      </c>
      <c r="E645" s="156">
        <v>39.090000000000003</v>
      </c>
      <c r="F645" s="124">
        <v>0.1</v>
      </c>
      <c r="G645" s="64">
        <f t="shared" si="793"/>
        <v>42.999000000000002</v>
      </c>
      <c r="H645" s="58" t="s">
        <v>67</v>
      </c>
      <c r="I645" s="90">
        <v>0.66200000000000003</v>
      </c>
      <c r="J645" s="91">
        <f t="shared" si="794"/>
        <v>28.465337999999999</v>
      </c>
      <c r="K645" s="92">
        <f>'LABOR SHEET'!C$9</f>
        <v>30</v>
      </c>
      <c r="L645" s="93">
        <f t="shared" si="795"/>
        <v>19.86</v>
      </c>
      <c r="M645" s="93">
        <f t="shared" si="796"/>
        <v>853.96014000000002</v>
      </c>
      <c r="N645" s="93">
        <v>75</v>
      </c>
      <c r="O645" s="93">
        <f t="shared" si="797"/>
        <v>3224.9250000000002</v>
      </c>
      <c r="P645" s="93">
        <f t="shared" si="798"/>
        <v>94.86</v>
      </c>
      <c r="Q645" s="112">
        <f t="shared" si="799"/>
        <v>4078.8851399999999</v>
      </c>
    </row>
    <row r="646" spans="1:36" s="30" customFormat="1">
      <c r="A646" s="55" t="str">
        <f>IF(F646&lt;&gt;"",1+MAX($A$2:A645),"")</f>
        <v/>
      </c>
      <c r="B646" s="233"/>
      <c r="C646" s="213"/>
      <c r="D646" s="57"/>
      <c r="E646" s="64"/>
      <c r="F646" s="199"/>
      <c r="G646" s="200"/>
      <c r="H646" s="62"/>
      <c r="I646" s="94"/>
      <c r="J646" s="91"/>
      <c r="K646" s="227"/>
      <c r="L646" s="97"/>
      <c r="M646" s="97"/>
      <c r="N646" s="97"/>
      <c r="O646" s="97"/>
      <c r="P646" s="97"/>
      <c r="Q646" s="137"/>
    </row>
    <row r="647" spans="1:36" s="30" customFormat="1">
      <c r="A647" s="55" t="str">
        <f>IF(F647&lt;&gt;"",1+MAX($A$2:A646),"")</f>
        <v/>
      </c>
      <c r="B647" s="207"/>
      <c r="C647" s="208"/>
      <c r="D647" s="67" t="s">
        <v>58</v>
      </c>
      <c r="E647" s="216"/>
      <c r="F647" s="216"/>
      <c r="G647" s="217"/>
      <c r="H647" s="216"/>
      <c r="I647" s="216"/>
      <c r="J647" s="130"/>
      <c r="K647" s="130"/>
      <c r="L647" s="131"/>
      <c r="M647" s="132"/>
      <c r="N647" s="131"/>
      <c r="O647" s="131"/>
      <c r="P647" s="228"/>
      <c r="Q647" s="106">
        <f>SUM(Q634:Q645)</f>
        <v>79049.440879999995</v>
      </c>
      <c r="S647" s="110"/>
    </row>
    <row r="648" spans="1:36" s="30" customFormat="1">
      <c r="A648" s="55" t="str">
        <f>IF(F648&lt;&gt;"",1+MAX($A$2:A647),"")</f>
        <v/>
      </c>
      <c r="B648" s="219"/>
      <c r="C648" s="219"/>
      <c r="D648" s="219"/>
      <c r="E648" s="219"/>
      <c r="F648" s="219"/>
      <c r="G648" s="219"/>
      <c r="H648" s="219"/>
      <c r="I648" s="219"/>
      <c r="J648" s="219"/>
      <c r="K648" s="219"/>
      <c r="L648" s="219"/>
      <c r="M648" s="219"/>
      <c r="N648" s="219"/>
      <c r="O648" s="219"/>
      <c r="P648" s="219"/>
      <c r="Q648" s="232"/>
      <c r="S648" s="110"/>
    </row>
    <row r="649" spans="1:36" s="30" customFormat="1">
      <c r="A649" s="46" t="str">
        <f>IF(F649&lt;&gt;"",1+MAX($A$2:A648),"")</f>
        <v/>
      </c>
      <c r="B649" s="46"/>
      <c r="C649" s="46">
        <v>22</v>
      </c>
      <c r="D649" s="48" t="s">
        <v>485</v>
      </c>
      <c r="E649" s="46"/>
      <c r="F649" s="46"/>
      <c r="G649" s="46"/>
      <c r="H649" s="46"/>
      <c r="I649" s="46"/>
      <c r="J649" s="46"/>
      <c r="K649" s="46"/>
      <c r="L649" s="46"/>
      <c r="M649" s="46"/>
      <c r="N649" s="46"/>
      <c r="O649" s="46"/>
      <c r="P649" s="46"/>
      <c r="Q649" s="109"/>
      <c r="S649" s="110"/>
    </row>
    <row r="650" spans="1:36" s="30" customFormat="1">
      <c r="A650" s="55" t="str">
        <f>IF(F650&lt;&gt;"",1+MAX($A$2:A649),"")</f>
        <v/>
      </c>
      <c r="B650" s="234"/>
      <c r="C650" s="60"/>
      <c r="D650" s="209" t="s">
        <v>486</v>
      </c>
      <c r="E650" s="58"/>
      <c r="F650" s="58"/>
      <c r="G650" s="58"/>
      <c r="H650" s="58"/>
      <c r="I650" s="224"/>
      <c r="J650" s="225"/>
      <c r="K650" s="226"/>
      <c r="L650" s="93"/>
      <c r="M650" s="93"/>
      <c r="N650" s="93"/>
      <c r="O650" s="93"/>
      <c r="P650" s="93"/>
      <c r="Q650" s="111"/>
      <c r="R650" s="195"/>
      <c r="S650" s="195"/>
      <c r="T650" s="195"/>
      <c r="U650" s="195"/>
      <c r="V650" s="195"/>
      <c r="W650" s="195"/>
      <c r="X650" s="195"/>
      <c r="Y650" s="195"/>
      <c r="Z650" s="195"/>
      <c r="AA650" s="195"/>
      <c r="AB650" s="195"/>
      <c r="AC650" s="195"/>
      <c r="AD650" s="195"/>
      <c r="AE650" s="195"/>
      <c r="AF650" s="195"/>
      <c r="AG650" s="195"/>
      <c r="AH650" s="195"/>
      <c r="AI650" s="195"/>
      <c r="AJ650" s="195"/>
    </row>
    <row r="651" spans="1:36" s="30" customFormat="1">
      <c r="A651" s="55">
        <f>IF(F651&lt;&gt;"",1+MAX($A$2:A650),"")</f>
        <v>476</v>
      </c>
      <c r="B651" s="234"/>
      <c r="C651" s="84"/>
      <c r="D651" s="57" t="s">
        <v>487</v>
      </c>
      <c r="E651" s="60">
        <v>14</v>
      </c>
      <c r="F651" s="124">
        <v>0</v>
      </c>
      <c r="G651" s="64">
        <f t="shared" ref="G651:G658" si="800">(F651*E651)+E651</f>
        <v>14</v>
      </c>
      <c r="H651" s="58" t="s">
        <v>124</v>
      </c>
      <c r="I651" s="90">
        <v>6.85</v>
      </c>
      <c r="J651" s="91">
        <f t="shared" ref="J651" si="801">+I651*G651</f>
        <v>95.9</v>
      </c>
      <c r="K651" s="92">
        <f>'LABOR SHEET'!C$4</f>
        <v>46.6</v>
      </c>
      <c r="L651" s="93">
        <f t="shared" ref="L651" si="802">I651*K651</f>
        <v>319.20999999999998</v>
      </c>
      <c r="M651" s="93">
        <f t="shared" ref="M651" si="803">K651*J651</f>
        <v>4468.9399999999996</v>
      </c>
      <c r="N651" s="93">
        <v>1212</v>
      </c>
      <c r="O651" s="93">
        <f t="shared" ref="O651" si="804">N651*G651</f>
        <v>16968</v>
      </c>
      <c r="P651" s="93">
        <f t="shared" ref="P651" si="805">(I651*K651)+N651</f>
        <v>1531.21</v>
      </c>
      <c r="Q651" s="112">
        <f t="shared" ref="Q651" si="806">P651*G651</f>
        <v>21436.94</v>
      </c>
      <c r="R651" s="195"/>
      <c r="S651" s="195"/>
      <c r="T651" s="195"/>
      <c r="U651" s="195"/>
      <c r="V651" s="195"/>
      <c r="W651" s="195"/>
      <c r="X651" s="195"/>
      <c r="Y651" s="195"/>
      <c r="Z651" s="195"/>
      <c r="AA651" s="195"/>
      <c r="AB651" s="195"/>
      <c r="AC651" s="195"/>
      <c r="AD651" s="195"/>
      <c r="AE651" s="195"/>
      <c r="AF651" s="195"/>
      <c r="AG651" s="195"/>
      <c r="AH651" s="195"/>
      <c r="AI651" s="195"/>
      <c r="AJ651" s="195"/>
    </row>
    <row r="652" spans="1:36" s="30" customFormat="1">
      <c r="A652" s="55">
        <f>IF(F652&lt;&gt;"",1+MAX($A$2:A651),"")</f>
        <v>477</v>
      </c>
      <c r="B652" s="234"/>
      <c r="C652" s="84"/>
      <c r="D652" s="57" t="s">
        <v>488</v>
      </c>
      <c r="E652" s="60">
        <v>2</v>
      </c>
      <c r="F652" s="124">
        <v>0</v>
      </c>
      <c r="G652" s="64">
        <f t="shared" si="800"/>
        <v>2</v>
      </c>
      <c r="H652" s="58" t="s">
        <v>124</v>
      </c>
      <c r="I652" s="90">
        <v>16</v>
      </c>
      <c r="J652" s="91">
        <f t="shared" ref="J652:J658" si="807">+I652*G652</f>
        <v>32</v>
      </c>
      <c r="K652" s="92">
        <f>'LABOR SHEET'!C$4</f>
        <v>46.6</v>
      </c>
      <c r="L652" s="93">
        <f t="shared" ref="L652:L658" si="808">I652*K652</f>
        <v>745.6</v>
      </c>
      <c r="M652" s="93">
        <f t="shared" ref="M652:M658" si="809">K652*J652</f>
        <v>1491.2</v>
      </c>
      <c r="N652" s="93">
        <v>2963</v>
      </c>
      <c r="O652" s="93">
        <f t="shared" ref="O652:O658" si="810">N652*G652</f>
        <v>5926</v>
      </c>
      <c r="P652" s="93">
        <f t="shared" ref="P652:P658" si="811">(I652*K652)+N652</f>
        <v>3708.6</v>
      </c>
      <c r="Q652" s="112">
        <f t="shared" ref="Q652:Q658" si="812">P652*G652</f>
        <v>7417.2</v>
      </c>
      <c r="R652" s="195"/>
      <c r="S652" s="195"/>
      <c r="T652" s="195"/>
      <c r="U652" s="195"/>
      <c r="V652" s="195"/>
      <c r="W652" s="195"/>
      <c r="X652" s="195"/>
      <c r="Y652" s="195"/>
      <c r="Z652" s="195"/>
      <c r="AA652" s="195"/>
      <c r="AB652" s="195"/>
      <c r="AC652" s="195"/>
      <c r="AD652" s="195"/>
      <c r="AE652" s="195"/>
      <c r="AF652" s="195"/>
      <c r="AG652" s="195"/>
      <c r="AH652" s="195"/>
      <c r="AI652" s="195"/>
      <c r="AJ652" s="195"/>
    </row>
    <row r="653" spans="1:36" s="30" customFormat="1">
      <c r="A653" s="55">
        <f>IF(F653&lt;&gt;"",1+MAX($A$2:A652),"")</f>
        <v>478</v>
      </c>
      <c r="B653" s="234"/>
      <c r="C653" s="84"/>
      <c r="D653" s="57" t="s">
        <v>489</v>
      </c>
      <c r="E653" s="60">
        <v>4</v>
      </c>
      <c r="F653" s="124">
        <v>0</v>
      </c>
      <c r="G653" s="64">
        <f t="shared" si="800"/>
        <v>4</v>
      </c>
      <c r="H653" s="58" t="s">
        <v>124</v>
      </c>
      <c r="I653" s="90">
        <v>12</v>
      </c>
      <c r="J653" s="91">
        <f t="shared" si="807"/>
        <v>48</v>
      </c>
      <c r="K653" s="92">
        <f>'LABOR SHEET'!C$4</f>
        <v>46.6</v>
      </c>
      <c r="L653" s="93">
        <f t="shared" si="808"/>
        <v>559.20000000000005</v>
      </c>
      <c r="M653" s="93">
        <f t="shared" si="809"/>
        <v>2236.8000000000002</v>
      </c>
      <c r="N653" s="93">
        <v>1659</v>
      </c>
      <c r="O653" s="93">
        <f t="shared" si="810"/>
        <v>6636</v>
      </c>
      <c r="P653" s="93">
        <f t="shared" si="811"/>
        <v>2218.1999999999998</v>
      </c>
      <c r="Q653" s="112">
        <f t="shared" si="812"/>
        <v>8872.7999999999993</v>
      </c>
      <c r="R653" s="195"/>
      <c r="S653" s="195"/>
      <c r="T653" s="195"/>
      <c r="U653" s="195"/>
      <c r="V653" s="195"/>
      <c r="W653" s="195"/>
      <c r="X653" s="195"/>
      <c r="Y653" s="195"/>
      <c r="Z653" s="195"/>
      <c r="AA653" s="195"/>
      <c r="AB653" s="195"/>
      <c r="AC653" s="195"/>
      <c r="AD653" s="195"/>
      <c r="AE653" s="195"/>
      <c r="AF653" s="195"/>
      <c r="AG653" s="195"/>
      <c r="AH653" s="195"/>
      <c r="AI653" s="195"/>
      <c r="AJ653" s="195"/>
    </row>
    <row r="654" spans="1:36" s="30" customFormat="1">
      <c r="A654" s="55">
        <f>IF(F654&lt;&gt;"",1+MAX($A$2:A653),"")</f>
        <v>479</v>
      </c>
      <c r="B654" s="234"/>
      <c r="C654" s="84"/>
      <c r="D654" s="57" t="s">
        <v>490</v>
      </c>
      <c r="E654" s="60">
        <v>12</v>
      </c>
      <c r="F654" s="124">
        <v>0</v>
      </c>
      <c r="G654" s="64">
        <f t="shared" si="800"/>
        <v>12</v>
      </c>
      <c r="H654" s="58" t="s">
        <v>124</v>
      </c>
      <c r="I654" s="90">
        <v>5.5</v>
      </c>
      <c r="J654" s="91">
        <f t="shared" si="807"/>
        <v>66</v>
      </c>
      <c r="K654" s="92">
        <f>'LABOR SHEET'!C$4</f>
        <v>46.6</v>
      </c>
      <c r="L654" s="93">
        <f t="shared" si="808"/>
        <v>256.3</v>
      </c>
      <c r="M654" s="93">
        <f t="shared" si="809"/>
        <v>3075.6</v>
      </c>
      <c r="N654" s="93">
        <v>999</v>
      </c>
      <c r="O654" s="93">
        <f t="shared" si="810"/>
        <v>11988</v>
      </c>
      <c r="P654" s="93">
        <f t="shared" si="811"/>
        <v>1255.3</v>
      </c>
      <c r="Q654" s="112">
        <f t="shared" si="812"/>
        <v>15063.6</v>
      </c>
      <c r="R654" s="195"/>
      <c r="S654" s="195"/>
      <c r="T654" s="195"/>
      <c r="U654" s="195"/>
      <c r="V654" s="195"/>
      <c r="W654" s="195"/>
      <c r="X654" s="195"/>
      <c r="Y654" s="195"/>
      <c r="Z654" s="195"/>
      <c r="AA654" s="195"/>
      <c r="AB654" s="195"/>
      <c r="AC654" s="195"/>
      <c r="AD654" s="195"/>
      <c r="AE654" s="195"/>
      <c r="AF654" s="195"/>
      <c r="AG654" s="195"/>
      <c r="AH654" s="195"/>
      <c r="AI654" s="195"/>
      <c r="AJ654" s="195"/>
    </row>
    <row r="655" spans="1:36" s="30" customFormat="1">
      <c r="A655" s="55">
        <f>IF(F655&lt;&gt;"",1+MAX($A$2:A654),"")</f>
        <v>480</v>
      </c>
      <c r="B655" s="234"/>
      <c r="C655" s="84"/>
      <c r="D655" s="57" t="s">
        <v>491</v>
      </c>
      <c r="E655" s="60">
        <v>5</v>
      </c>
      <c r="F655" s="124">
        <v>0</v>
      </c>
      <c r="G655" s="64">
        <f t="shared" si="800"/>
        <v>5</v>
      </c>
      <c r="H655" s="58" t="s">
        <v>124</v>
      </c>
      <c r="I655" s="90">
        <v>3.6</v>
      </c>
      <c r="J655" s="91">
        <f t="shared" si="807"/>
        <v>18</v>
      </c>
      <c r="K655" s="92">
        <f>'LABOR SHEET'!C$4</f>
        <v>46.6</v>
      </c>
      <c r="L655" s="93">
        <f t="shared" si="808"/>
        <v>167.76</v>
      </c>
      <c r="M655" s="93">
        <f t="shared" si="809"/>
        <v>838.8</v>
      </c>
      <c r="N655" s="93">
        <v>410</v>
      </c>
      <c r="O655" s="93">
        <f t="shared" si="810"/>
        <v>2050</v>
      </c>
      <c r="P655" s="93">
        <f t="shared" si="811"/>
        <v>577.76</v>
      </c>
      <c r="Q655" s="112">
        <f t="shared" si="812"/>
        <v>2888.8</v>
      </c>
      <c r="R655" s="195"/>
      <c r="S655" s="195"/>
      <c r="T655" s="195"/>
      <c r="U655" s="195"/>
      <c r="V655" s="195"/>
      <c r="W655" s="195"/>
      <c r="X655" s="195"/>
      <c r="Y655" s="195"/>
      <c r="Z655" s="195"/>
      <c r="AA655" s="195"/>
      <c r="AB655" s="195"/>
      <c r="AC655" s="195"/>
      <c r="AD655" s="195"/>
      <c r="AE655" s="195"/>
      <c r="AF655" s="195"/>
      <c r="AG655" s="195"/>
      <c r="AH655" s="195"/>
      <c r="AI655" s="195"/>
      <c r="AJ655" s="195"/>
    </row>
    <row r="656" spans="1:36" s="30" customFormat="1">
      <c r="A656" s="55">
        <f>IF(F656&lt;&gt;"",1+MAX($A$2:A655),"")</f>
        <v>481</v>
      </c>
      <c r="B656" s="234"/>
      <c r="C656" s="84"/>
      <c r="D656" s="57" t="s">
        <v>492</v>
      </c>
      <c r="E656" s="60">
        <v>2</v>
      </c>
      <c r="F656" s="124">
        <v>0</v>
      </c>
      <c r="G656" s="64">
        <f t="shared" si="800"/>
        <v>2</v>
      </c>
      <c r="H656" s="58" t="s">
        <v>124</v>
      </c>
      <c r="I656" s="90">
        <v>5.15</v>
      </c>
      <c r="J656" s="91">
        <f t="shared" si="807"/>
        <v>10.3</v>
      </c>
      <c r="K656" s="92">
        <f>'LABOR SHEET'!C$4</f>
        <v>46.6</v>
      </c>
      <c r="L656" s="93">
        <f t="shared" si="808"/>
        <v>239.99</v>
      </c>
      <c r="M656" s="93">
        <f t="shared" si="809"/>
        <v>479.98</v>
      </c>
      <c r="N656" s="93">
        <v>669</v>
      </c>
      <c r="O656" s="93">
        <f t="shared" si="810"/>
        <v>1338</v>
      </c>
      <c r="P656" s="93">
        <f t="shared" si="811"/>
        <v>908.99</v>
      </c>
      <c r="Q656" s="112">
        <f t="shared" si="812"/>
        <v>1817.98</v>
      </c>
      <c r="R656" s="195"/>
      <c r="S656" s="195"/>
      <c r="T656" s="195"/>
      <c r="U656" s="195"/>
      <c r="V656" s="195"/>
      <c r="W656" s="195"/>
      <c r="X656" s="195"/>
      <c r="Y656" s="195"/>
      <c r="Z656" s="195"/>
      <c r="AA656" s="195"/>
      <c r="AB656" s="195"/>
      <c r="AC656" s="195"/>
      <c r="AD656" s="195"/>
      <c r="AE656" s="195"/>
      <c r="AF656" s="195"/>
      <c r="AG656" s="195"/>
      <c r="AH656" s="195"/>
      <c r="AI656" s="195"/>
      <c r="AJ656" s="195"/>
    </row>
    <row r="657" spans="1:36" s="30" customFormat="1">
      <c r="A657" s="55">
        <f>IF(F657&lt;&gt;"",1+MAX($A$2:A656),"")</f>
        <v>482</v>
      </c>
      <c r="B657" s="234"/>
      <c r="C657" s="84"/>
      <c r="D657" s="57" t="s">
        <v>493</v>
      </c>
      <c r="E657" s="60">
        <v>2</v>
      </c>
      <c r="F657" s="124">
        <v>0</v>
      </c>
      <c r="G657" s="64">
        <f t="shared" si="800"/>
        <v>2</v>
      </c>
      <c r="H657" s="58" t="s">
        <v>124</v>
      </c>
      <c r="I657" s="90">
        <v>8.6999999999999993</v>
      </c>
      <c r="J657" s="91">
        <f t="shared" si="807"/>
        <v>17.399999999999999</v>
      </c>
      <c r="K657" s="92">
        <f>'LABOR SHEET'!C$4</f>
        <v>46.6</v>
      </c>
      <c r="L657" s="93">
        <f t="shared" si="808"/>
        <v>405.42</v>
      </c>
      <c r="M657" s="93">
        <f t="shared" si="809"/>
        <v>810.84</v>
      </c>
      <c r="N657" s="93">
        <v>1690</v>
      </c>
      <c r="O657" s="93">
        <f t="shared" si="810"/>
        <v>3380</v>
      </c>
      <c r="P657" s="93">
        <f t="shared" si="811"/>
        <v>2095.42</v>
      </c>
      <c r="Q657" s="112">
        <f t="shared" si="812"/>
        <v>4190.84</v>
      </c>
      <c r="R657" s="195"/>
      <c r="S657" s="195"/>
      <c r="T657" s="195"/>
      <c r="U657" s="195"/>
      <c r="V657" s="195"/>
      <c r="W657" s="195"/>
      <c r="X657" s="195"/>
      <c r="Y657" s="195"/>
      <c r="Z657" s="195"/>
      <c r="AA657" s="195"/>
      <c r="AB657" s="195"/>
      <c r="AC657" s="195"/>
      <c r="AD657" s="195"/>
      <c r="AE657" s="195"/>
      <c r="AF657" s="195"/>
      <c r="AG657" s="195"/>
      <c r="AH657" s="195"/>
      <c r="AI657" s="195"/>
      <c r="AJ657" s="195"/>
    </row>
    <row r="658" spans="1:36" s="30" customFormat="1">
      <c r="A658" s="55">
        <f>IF(F658&lt;&gt;"",1+MAX($A$2:A657),"")</f>
        <v>483</v>
      </c>
      <c r="B658" s="234"/>
      <c r="C658" s="84"/>
      <c r="D658" s="57" t="s">
        <v>494</v>
      </c>
      <c r="E658" s="60">
        <v>2</v>
      </c>
      <c r="F658" s="124">
        <v>0</v>
      </c>
      <c r="G658" s="64">
        <f t="shared" si="800"/>
        <v>2</v>
      </c>
      <c r="H658" s="58" t="s">
        <v>124</v>
      </c>
      <c r="I658" s="90">
        <v>6.85</v>
      </c>
      <c r="J658" s="91">
        <f t="shared" si="807"/>
        <v>13.7</v>
      </c>
      <c r="K658" s="92">
        <f>'LABOR SHEET'!C$4</f>
        <v>46.6</v>
      </c>
      <c r="L658" s="93">
        <f t="shared" si="808"/>
        <v>319.20999999999998</v>
      </c>
      <c r="M658" s="93">
        <f t="shared" si="809"/>
        <v>638.41999999999996</v>
      </c>
      <c r="N658" s="93">
        <v>1210</v>
      </c>
      <c r="O658" s="93">
        <f t="shared" si="810"/>
        <v>2420</v>
      </c>
      <c r="P658" s="93">
        <f t="shared" si="811"/>
        <v>1529.21</v>
      </c>
      <c r="Q658" s="112">
        <f t="shared" si="812"/>
        <v>3058.42</v>
      </c>
      <c r="R658" s="195"/>
      <c r="S658" s="195"/>
      <c r="T658" s="195"/>
      <c r="U658" s="195"/>
      <c r="V658" s="195"/>
      <c r="W658" s="195"/>
      <c r="X658" s="195"/>
      <c r="Y658" s="195"/>
      <c r="Z658" s="195"/>
      <c r="AA658" s="195"/>
      <c r="AB658" s="195"/>
      <c r="AC658" s="195"/>
      <c r="AD658" s="195"/>
      <c r="AE658" s="195"/>
      <c r="AF658" s="195"/>
      <c r="AG658" s="195"/>
      <c r="AH658" s="195"/>
      <c r="AI658" s="195"/>
      <c r="AJ658" s="195"/>
    </row>
    <row r="659" spans="1:36" s="30" customFormat="1">
      <c r="A659" s="55" t="str">
        <f>IF(F659&lt;&gt;"",1+MAX($A$2:A658),"")</f>
        <v/>
      </c>
      <c r="B659" s="234"/>
      <c r="C659" s="84"/>
      <c r="D659" s="57"/>
      <c r="E659" s="60"/>
      <c r="F659" s="124"/>
      <c r="G659" s="145"/>
      <c r="H659" s="58"/>
      <c r="I659" s="90"/>
      <c r="J659" s="91"/>
      <c r="K659" s="92"/>
      <c r="L659" s="93"/>
      <c r="M659" s="93"/>
      <c r="N659" s="93"/>
      <c r="O659" s="93"/>
      <c r="P659" s="93"/>
      <c r="Q659" s="112"/>
      <c r="R659" s="195"/>
      <c r="S659" s="195"/>
      <c r="T659" s="195"/>
      <c r="U659" s="195"/>
      <c r="V659" s="195"/>
      <c r="W659" s="195"/>
      <c r="X659" s="195"/>
      <c r="Y659" s="195"/>
      <c r="Z659" s="195"/>
      <c r="AA659" s="195"/>
      <c r="AB659" s="195"/>
      <c r="AC659" s="195"/>
      <c r="AD659" s="195"/>
      <c r="AE659" s="195"/>
      <c r="AF659" s="195"/>
      <c r="AG659" s="195"/>
      <c r="AH659" s="195"/>
      <c r="AI659" s="195"/>
      <c r="AJ659" s="195"/>
    </row>
    <row r="660" spans="1:36" s="30" customFormat="1">
      <c r="A660" s="55" t="str">
        <f>IF(F660&lt;&gt;"",1+MAX($A$2:A659),"")</f>
        <v/>
      </c>
      <c r="B660" s="234"/>
      <c r="C660" s="60"/>
      <c r="D660" s="209" t="s">
        <v>495</v>
      </c>
      <c r="E660" s="58"/>
      <c r="F660" s="58"/>
      <c r="G660" s="58"/>
      <c r="H660" s="58"/>
      <c r="I660" s="224"/>
      <c r="J660" s="225"/>
      <c r="K660" s="226"/>
      <c r="L660" s="93"/>
      <c r="M660" s="93"/>
      <c r="N660" s="93"/>
      <c r="O660" s="93"/>
      <c r="P660" s="93"/>
      <c r="Q660" s="111"/>
      <c r="R660" s="195"/>
      <c r="S660" s="195"/>
      <c r="T660" s="195"/>
      <c r="U660" s="195"/>
      <c r="V660" s="195"/>
      <c r="W660" s="195"/>
      <c r="X660" s="195"/>
      <c r="Y660" s="195"/>
      <c r="Z660" s="195"/>
      <c r="AA660" s="195"/>
      <c r="AB660" s="195"/>
      <c r="AC660" s="195"/>
      <c r="AD660" s="195"/>
      <c r="AE660" s="195"/>
      <c r="AF660" s="195"/>
      <c r="AG660" s="195"/>
      <c r="AH660" s="195"/>
      <c r="AI660" s="195"/>
      <c r="AJ660" s="195"/>
    </row>
    <row r="661" spans="1:36" s="30" customFormat="1">
      <c r="A661" s="55">
        <f>IF(F661&lt;&gt;"",1+MAX($A$2:A660),"")</f>
        <v>484</v>
      </c>
      <c r="B661" s="234"/>
      <c r="C661" s="84"/>
      <c r="D661" s="57" t="s">
        <v>496</v>
      </c>
      <c r="E661" s="60">
        <v>12000</v>
      </c>
      <c r="F661" s="124">
        <v>0.1</v>
      </c>
      <c r="G661" s="64">
        <f t="shared" ref="G661" si="813">(F661*E661)+E661</f>
        <v>13200</v>
      </c>
      <c r="H661" s="58" t="s">
        <v>67</v>
      </c>
      <c r="I661" s="90">
        <v>0.06</v>
      </c>
      <c r="J661" s="91">
        <f t="shared" ref="J661" si="814">+I661*G661</f>
        <v>792</v>
      </c>
      <c r="K661" s="92">
        <f>'LABOR SHEET'!C$4</f>
        <v>46.6</v>
      </c>
      <c r="L661" s="93">
        <f t="shared" ref="L661" si="815">I661*K661</f>
        <v>2.7959999999999998</v>
      </c>
      <c r="M661" s="93">
        <f t="shared" ref="M661" si="816">K661*J661</f>
        <v>36907.199999999997</v>
      </c>
      <c r="N661" s="93">
        <v>3.2</v>
      </c>
      <c r="O661" s="93">
        <f t="shared" ref="O661" si="817">N661*G661</f>
        <v>42240</v>
      </c>
      <c r="P661" s="93">
        <f t="shared" ref="P661" si="818">(I661*K661)+N661</f>
        <v>5.9960000000000004</v>
      </c>
      <c r="Q661" s="112">
        <f t="shared" ref="Q661" si="819">P661*G661</f>
        <v>79147.199999999997</v>
      </c>
      <c r="R661" s="195"/>
      <c r="S661" s="195"/>
      <c r="T661" s="195"/>
      <c r="U661" s="195"/>
      <c r="V661" s="195"/>
      <c r="W661" s="195"/>
      <c r="X661" s="195"/>
      <c r="Y661" s="195"/>
      <c r="Z661" s="195"/>
      <c r="AA661" s="195"/>
      <c r="AB661" s="195"/>
      <c r="AC661" s="195"/>
      <c r="AD661" s="195"/>
      <c r="AE661" s="195"/>
      <c r="AF661" s="195"/>
      <c r="AG661" s="195"/>
      <c r="AH661" s="195"/>
      <c r="AI661" s="195"/>
      <c r="AJ661" s="195"/>
    </row>
    <row r="662" spans="1:36" s="30" customFormat="1">
      <c r="A662" s="55" t="str">
        <f>IF(F662&lt;&gt;"",1+MAX($A$2:A661),"")</f>
        <v/>
      </c>
      <c r="B662" s="234"/>
      <c r="C662" s="84"/>
      <c r="D662" s="57"/>
      <c r="E662" s="60"/>
      <c r="F662" s="124"/>
      <c r="G662" s="145"/>
      <c r="H662" s="58"/>
      <c r="I662" s="90"/>
      <c r="J662" s="91"/>
      <c r="K662" s="92"/>
      <c r="L662" s="93"/>
      <c r="M662" s="97"/>
      <c r="N662" s="97"/>
      <c r="O662" s="97"/>
      <c r="P662" s="97"/>
      <c r="Q662" s="137"/>
      <c r="R662" s="195"/>
      <c r="S662" s="195"/>
      <c r="T662" s="195"/>
      <c r="U662" s="195"/>
      <c r="V662" s="195"/>
      <c r="W662" s="195"/>
      <c r="X662" s="195"/>
      <c r="Y662" s="195"/>
      <c r="Z662" s="195"/>
      <c r="AA662" s="195"/>
      <c r="AB662" s="195"/>
      <c r="AC662" s="195"/>
      <c r="AD662" s="195"/>
      <c r="AE662" s="195"/>
      <c r="AF662" s="195"/>
      <c r="AG662" s="195"/>
      <c r="AH662" s="195"/>
      <c r="AI662" s="195"/>
      <c r="AJ662" s="195"/>
    </row>
    <row r="663" spans="1:36" s="30" customFormat="1">
      <c r="A663" s="55" t="str">
        <f>IF(F663&lt;&gt;"",1+MAX($A$2:A662),"")</f>
        <v/>
      </c>
      <c r="B663" s="207"/>
      <c r="C663" s="208"/>
      <c r="D663" s="67" t="s">
        <v>58</v>
      </c>
      <c r="E663" s="216"/>
      <c r="F663" s="216"/>
      <c r="G663" s="217"/>
      <c r="H663" s="216"/>
      <c r="I663" s="216"/>
      <c r="J663" s="130"/>
      <c r="K663" s="130"/>
      <c r="L663" s="131"/>
      <c r="M663" s="132"/>
      <c r="N663" s="131"/>
      <c r="O663" s="131"/>
      <c r="P663" s="228"/>
      <c r="Q663" s="106">
        <f>SUM(Q651:Q661)</f>
        <v>143893.78</v>
      </c>
      <c r="S663" s="110"/>
    </row>
    <row r="664" spans="1:36" s="30" customFormat="1">
      <c r="A664" s="55" t="str">
        <f>IF(F664&lt;&gt;"",1+MAX($A$2:A663),"")</f>
        <v/>
      </c>
      <c r="B664" s="219"/>
      <c r="C664" s="219"/>
      <c r="D664" s="219"/>
      <c r="E664" s="219"/>
      <c r="F664" s="219"/>
      <c r="G664" s="219"/>
      <c r="H664" s="219"/>
      <c r="I664" s="219"/>
      <c r="J664" s="219"/>
      <c r="K664" s="219"/>
      <c r="L664" s="219"/>
      <c r="M664" s="219"/>
      <c r="N664" s="219"/>
      <c r="O664" s="219"/>
      <c r="P664" s="219"/>
      <c r="Q664" s="232"/>
      <c r="S664" s="110"/>
    </row>
    <row r="665" spans="1:36" s="30" customFormat="1">
      <c r="A665" s="46" t="str">
        <f>IF(F665&lt;&gt;"",1+MAX($A$2:A664),"")</f>
        <v/>
      </c>
      <c r="B665" s="46"/>
      <c r="C665" s="46">
        <v>23</v>
      </c>
      <c r="D665" s="48" t="s">
        <v>497</v>
      </c>
      <c r="E665" s="46"/>
      <c r="F665" s="46"/>
      <c r="G665" s="46"/>
      <c r="H665" s="46"/>
      <c r="I665" s="46"/>
      <c r="J665" s="46"/>
      <c r="K665" s="46"/>
      <c r="L665" s="46"/>
      <c r="M665" s="46"/>
      <c r="N665" s="46"/>
      <c r="O665" s="46"/>
      <c r="P665" s="46"/>
      <c r="Q665" s="109"/>
      <c r="S665" s="110"/>
    </row>
    <row r="666" spans="1:36" s="30" customFormat="1">
      <c r="A666" s="55" t="str">
        <f>IF(F666&lt;&gt;"",1+MAX($A$2:A665),"")</f>
        <v/>
      </c>
      <c r="B666" s="234"/>
      <c r="C666" s="60"/>
      <c r="D666" s="209" t="s">
        <v>486</v>
      </c>
      <c r="E666" s="58"/>
      <c r="F666" s="58"/>
      <c r="G666" s="58"/>
      <c r="H666" s="58"/>
      <c r="I666" s="224"/>
      <c r="J666" s="225"/>
      <c r="K666" s="226"/>
      <c r="L666" s="93"/>
      <c r="M666" s="93"/>
      <c r="N666" s="93"/>
      <c r="O666" s="93"/>
      <c r="P666" s="93"/>
      <c r="Q666" s="111"/>
      <c r="R666" s="195"/>
      <c r="S666" s="195"/>
      <c r="T666" s="195"/>
      <c r="U666" s="195"/>
      <c r="V666" s="195"/>
      <c r="W666" s="195"/>
      <c r="X666" s="195"/>
      <c r="Y666" s="195"/>
      <c r="Z666" s="195"/>
      <c r="AA666" s="195"/>
      <c r="AB666" s="195"/>
      <c r="AC666" s="195"/>
      <c r="AD666" s="195"/>
      <c r="AE666" s="195"/>
      <c r="AF666" s="195"/>
      <c r="AG666" s="195"/>
      <c r="AH666" s="195"/>
      <c r="AI666" s="195"/>
      <c r="AJ666" s="195"/>
    </row>
    <row r="667" spans="1:36" s="30" customFormat="1">
      <c r="A667" s="55">
        <f>IF(F667&lt;&gt;"",1+MAX($A$2:A666),"")</f>
        <v>485</v>
      </c>
      <c r="B667" s="234"/>
      <c r="C667" s="84"/>
      <c r="D667" s="57" t="s">
        <v>498</v>
      </c>
      <c r="E667" s="60">
        <v>3</v>
      </c>
      <c r="F667" s="124">
        <v>0</v>
      </c>
      <c r="G667" s="64">
        <f t="shared" ref="G667" si="820">(F667*E667)+E667</f>
        <v>3</v>
      </c>
      <c r="H667" s="58" t="s">
        <v>124</v>
      </c>
      <c r="I667" s="90">
        <v>10</v>
      </c>
      <c r="J667" s="91">
        <f t="shared" ref="J667" si="821">+I667*G667</f>
        <v>30</v>
      </c>
      <c r="K667" s="92">
        <f>'LABOR SHEET'!C$5</f>
        <v>46.6</v>
      </c>
      <c r="L667" s="93">
        <f t="shared" ref="L667" si="822">I667*K667</f>
        <v>466</v>
      </c>
      <c r="M667" s="93">
        <f t="shared" ref="M667" si="823">K667*J667</f>
        <v>1398</v>
      </c>
      <c r="N667" s="93">
        <v>3350</v>
      </c>
      <c r="O667" s="93">
        <f t="shared" ref="O667" si="824">N667*G667</f>
        <v>10050</v>
      </c>
      <c r="P667" s="93">
        <f t="shared" ref="P667" si="825">(I667*K667)+N667</f>
        <v>3816</v>
      </c>
      <c r="Q667" s="112">
        <f t="shared" ref="Q667" si="826">P667*G667</f>
        <v>11448</v>
      </c>
      <c r="R667" s="195"/>
      <c r="S667" s="195"/>
      <c r="T667" s="195"/>
      <c r="U667" s="195"/>
      <c r="V667" s="195"/>
      <c r="W667" s="195"/>
      <c r="X667" s="195"/>
      <c r="Y667" s="195"/>
      <c r="Z667" s="195"/>
      <c r="AA667" s="195"/>
      <c r="AB667" s="195"/>
      <c r="AC667" s="195"/>
      <c r="AD667" s="195"/>
      <c r="AE667" s="195"/>
      <c r="AF667" s="195"/>
      <c r="AG667" s="195"/>
      <c r="AH667" s="195"/>
      <c r="AI667" s="195"/>
      <c r="AJ667" s="195"/>
    </row>
    <row r="668" spans="1:36" s="30" customFormat="1">
      <c r="A668" s="55" t="str">
        <f>IF(F668&lt;&gt;"",1+MAX($A$2:A667),"")</f>
        <v/>
      </c>
      <c r="B668" s="234"/>
      <c r="C668" s="84"/>
      <c r="D668" s="57"/>
      <c r="E668" s="60"/>
      <c r="F668" s="124"/>
      <c r="G668" s="145"/>
      <c r="H668" s="58"/>
      <c r="I668" s="90"/>
      <c r="J668" s="91"/>
      <c r="K668" s="92"/>
      <c r="L668" s="93"/>
      <c r="M668" s="236"/>
      <c r="N668" s="93"/>
      <c r="O668" s="93"/>
      <c r="P668" s="93"/>
      <c r="Q668" s="111"/>
      <c r="R668" s="195"/>
      <c r="S668" s="195"/>
      <c r="T668" s="195"/>
      <c r="U668" s="195"/>
      <c r="V668" s="195"/>
      <c r="W668" s="195"/>
      <c r="X668" s="195"/>
      <c r="Y668" s="195"/>
      <c r="Z668" s="195"/>
      <c r="AA668" s="195"/>
      <c r="AB668" s="195"/>
      <c r="AC668" s="195"/>
      <c r="AD668" s="195"/>
      <c r="AE668" s="195"/>
      <c r="AF668" s="195"/>
      <c r="AG668" s="195"/>
      <c r="AH668" s="195"/>
      <c r="AI668" s="195"/>
      <c r="AJ668" s="195"/>
    </row>
    <row r="669" spans="1:36" s="30" customFormat="1">
      <c r="A669" s="55" t="str">
        <f>IF(F669&lt;&gt;"",1+MAX($A$2:A668),"")</f>
        <v/>
      </c>
      <c r="B669" s="234"/>
      <c r="C669" s="60"/>
      <c r="D669" s="209" t="s">
        <v>495</v>
      </c>
      <c r="E669" s="58"/>
      <c r="F669" s="58"/>
      <c r="G669" s="58"/>
      <c r="H669" s="58"/>
      <c r="I669" s="224"/>
      <c r="J669" s="225"/>
      <c r="K669" s="226"/>
      <c r="L669" s="93"/>
      <c r="M669" s="93"/>
      <c r="N669" s="93"/>
      <c r="O669" s="93"/>
      <c r="P669" s="93"/>
      <c r="Q669" s="111"/>
      <c r="R669" s="195"/>
      <c r="S669" s="195"/>
      <c r="T669" s="195"/>
      <c r="U669" s="195"/>
      <c r="V669" s="195"/>
      <c r="W669" s="195"/>
      <c r="X669" s="195"/>
      <c r="Y669" s="195"/>
      <c r="Z669" s="195"/>
      <c r="AA669" s="195"/>
      <c r="AB669" s="195"/>
      <c r="AC669" s="195"/>
      <c r="AD669" s="195"/>
      <c r="AE669" s="195"/>
      <c r="AF669" s="195"/>
      <c r="AG669" s="195"/>
      <c r="AH669" s="195"/>
      <c r="AI669" s="195"/>
      <c r="AJ669" s="195"/>
    </row>
    <row r="670" spans="1:36" s="30" customFormat="1">
      <c r="A670" s="55">
        <f>IF(F670&lt;&gt;"",1+MAX($A$2:A669),"")</f>
        <v>486</v>
      </c>
      <c r="B670" s="234"/>
      <c r="C670" s="84"/>
      <c r="D670" s="57" t="s">
        <v>499</v>
      </c>
      <c r="E670" s="60">
        <v>22000</v>
      </c>
      <c r="F670" s="124">
        <v>0.1</v>
      </c>
      <c r="G670" s="64">
        <f t="shared" ref="G670" si="827">(F670*E670)+E670</f>
        <v>24200</v>
      </c>
      <c r="H670" s="58" t="s">
        <v>67</v>
      </c>
      <c r="I670" s="90">
        <v>0.1</v>
      </c>
      <c r="J670" s="91">
        <f t="shared" ref="J670" si="828">+I670*G670</f>
        <v>2420</v>
      </c>
      <c r="K670" s="92">
        <f>'LABOR SHEET'!C$5</f>
        <v>46.6</v>
      </c>
      <c r="L670" s="93">
        <f t="shared" ref="L670" si="829">I670*K670</f>
        <v>4.66</v>
      </c>
      <c r="M670" s="93">
        <f t="shared" ref="M670" si="830">K670*J670</f>
        <v>112772</v>
      </c>
      <c r="N670" s="93">
        <v>5.3</v>
      </c>
      <c r="O670" s="93">
        <f t="shared" ref="O670" si="831">N670*G670</f>
        <v>128260</v>
      </c>
      <c r="P670" s="93">
        <f t="shared" ref="P670" si="832">(I670*K670)+N670</f>
        <v>9.9600000000000009</v>
      </c>
      <c r="Q670" s="112">
        <f t="shared" ref="Q670" si="833">P670*G670</f>
        <v>241032</v>
      </c>
      <c r="R670" s="195"/>
      <c r="S670" s="195"/>
      <c r="T670" s="195"/>
      <c r="U670" s="195"/>
      <c r="V670" s="195"/>
      <c r="W670" s="195"/>
      <c r="X670" s="195"/>
      <c r="Y670" s="195"/>
      <c r="Z670" s="195"/>
      <c r="AA670" s="195"/>
      <c r="AB670" s="195"/>
      <c r="AC670" s="195"/>
      <c r="AD670" s="195"/>
      <c r="AE670" s="195"/>
      <c r="AF670" s="195"/>
      <c r="AG670" s="195"/>
      <c r="AH670" s="195"/>
      <c r="AI670" s="195"/>
      <c r="AJ670" s="195"/>
    </row>
    <row r="671" spans="1:36" s="30" customFormat="1">
      <c r="A671" s="55" t="str">
        <f>IF(F671&lt;&gt;"",1+MAX($A$2:A670),"")</f>
        <v/>
      </c>
      <c r="B671" s="234"/>
      <c r="C671" s="84"/>
      <c r="D671" s="57"/>
      <c r="E671" s="60"/>
      <c r="F671" s="124"/>
      <c r="G671" s="145"/>
      <c r="H671" s="58"/>
      <c r="I671" s="90"/>
      <c r="J671" s="91"/>
      <c r="K671" s="92"/>
      <c r="L671" s="93"/>
      <c r="M671" s="97"/>
      <c r="N671" s="97"/>
      <c r="O671" s="97"/>
      <c r="P671" s="97"/>
      <c r="Q671" s="137"/>
      <c r="R671" s="195"/>
      <c r="S671" s="195"/>
      <c r="T671" s="195"/>
      <c r="U671" s="195"/>
      <c r="V671" s="195"/>
      <c r="W671" s="195"/>
      <c r="X671" s="195"/>
      <c r="Y671" s="195"/>
      <c r="Z671" s="195"/>
      <c r="AA671" s="195"/>
      <c r="AB671" s="195"/>
      <c r="AC671" s="195"/>
      <c r="AD671" s="195"/>
      <c r="AE671" s="195"/>
      <c r="AF671" s="195"/>
      <c r="AG671" s="195"/>
      <c r="AH671" s="195"/>
      <c r="AI671" s="195"/>
      <c r="AJ671" s="195"/>
    </row>
    <row r="672" spans="1:36" s="30" customFormat="1">
      <c r="A672" s="55" t="str">
        <f>IF(F672&lt;&gt;"",1+MAX($A$2:A671),"")</f>
        <v/>
      </c>
      <c r="B672" s="207"/>
      <c r="C672" s="208"/>
      <c r="D672" s="67" t="s">
        <v>58</v>
      </c>
      <c r="E672" s="216"/>
      <c r="F672" s="216"/>
      <c r="G672" s="217"/>
      <c r="H672" s="216"/>
      <c r="I672" s="216"/>
      <c r="J672" s="130"/>
      <c r="K672" s="130"/>
      <c r="L672" s="131"/>
      <c r="M672" s="132"/>
      <c r="N672" s="131"/>
      <c r="O672" s="131"/>
      <c r="P672" s="228"/>
      <c r="Q672" s="106">
        <f>SUM(Q667:Q670)</f>
        <v>252480</v>
      </c>
      <c r="S672" s="110"/>
    </row>
    <row r="673" spans="1:36" s="30" customFormat="1">
      <c r="A673" s="55" t="str">
        <f>IF(F673&lt;&gt;"",1+MAX($A$2:A672),"")</f>
        <v/>
      </c>
      <c r="B673" s="219"/>
      <c r="C673" s="219"/>
      <c r="D673" s="219"/>
      <c r="E673" s="219"/>
      <c r="F673" s="219"/>
      <c r="G673" s="219"/>
      <c r="H673" s="219"/>
      <c r="I673" s="219"/>
      <c r="J673" s="219"/>
      <c r="K673" s="219"/>
      <c r="L673" s="219"/>
      <c r="M673" s="219"/>
      <c r="N673" s="219"/>
      <c r="O673" s="219"/>
      <c r="P673" s="219"/>
      <c r="Q673" s="232"/>
      <c r="S673" s="110"/>
    </row>
    <row r="674" spans="1:36" s="30" customFormat="1">
      <c r="A674" s="46" t="str">
        <f>IF(F674&lt;&gt;"",1+MAX($A$2:A673),"")</f>
        <v/>
      </c>
      <c r="B674" s="46"/>
      <c r="C674" s="46">
        <v>26</v>
      </c>
      <c r="D674" s="48" t="s">
        <v>500</v>
      </c>
      <c r="E674" s="46"/>
      <c r="F674" s="46"/>
      <c r="G674" s="46"/>
      <c r="H674" s="46"/>
      <c r="I674" s="46"/>
      <c r="J674" s="46"/>
      <c r="K674" s="46"/>
      <c r="L674" s="46"/>
      <c r="M674" s="46"/>
      <c r="N674" s="46"/>
      <c r="O674" s="46"/>
      <c r="P674" s="46"/>
      <c r="Q674" s="109"/>
      <c r="S674" s="110"/>
    </row>
    <row r="675" spans="1:36" s="30" customFormat="1">
      <c r="A675" s="55" t="str">
        <f>IF(F675&lt;&gt;"",1+MAX($A$2:A674),"")</f>
        <v/>
      </c>
      <c r="B675" s="234"/>
      <c r="C675" s="60"/>
      <c r="D675" s="209" t="s">
        <v>501</v>
      </c>
      <c r="E675" s="60"/>
      <c r="F675" s="60"/>
      <c r="G675" s="60"/>
      <c r="H675" s="58"/>
      <c r="I675" s="224"/>
      <c r="J675" s="225"/>
      <c r="K675" s="226"/>
      <c r="L675" s="93"/>
      <c r="M675" s="93"/>
      <c r="N675" s="93"/>
      <c r="O675" s="93"/>
      <c r="P675" s="93"/>
      <c r="Q675" s="111"/>
      <c r="R675" s="195"/>
      <c r="S675" s="195"/>
      <c r="T675" s="195"/>
      <c r="U675" s="195"/>
      <c r="V675" s="195"/>
      <c r="W675" s="195"/>
      <c r="X675" s="195"/>
      <c r="Y675" s="195"/>
      <c r="Z675" s="195"/>
      <c r="AA675" s="195"/>
      <c r="AB675" s="195"/>
      <c r="AC675" s="195"/>
      <c r="AD675" s="195"/>
      <c r="AE675" s="195"/>
      <c r="AF675" s="195"/>
      <c r="AG675" s="195"/>
      <c r="AH675" s="195"/>
      <c r="AI675" s="195"/>
      <c r="AJ675" s="195"/>
    </row>
    <row r="676" spans="1:36" s="30" customFormat="1">
      <c r="A676" s="55">
        <f>IF(F676&lt;&gt;"",1+MAX($A$2:A675),"")</f>
        <v>487</v>
      </c>
      <c r="B676" s="234"/>
      <c r="C676" s="84"/>
      <c r="D676" s="57" t="s">
        <v>502</v>
      </c>
      <c r="E676" s="60">
        <v>94</v>
      </c>
      <c r="F676" s="124">
        <v>0</v>
      </c>
      <c r="G676" s="64">
        <f t="shared" ref="G676:G686" si="834">(F676*E676)+E676</f>
        <v>94</v>
      </c>
      <c r="H676" s="58" t="s">
        <v>124</v>
      </c>
      <c r="I676" s="90">
        <v>0.68500000000000005</v>
      </c>
      <c r="J676" s="91">
        <f t="shared" ref="J676" si="835">+I676*G676</f>
        <v>64.39</v>
      </c>
      <c r="K676" s="92">
        <f>'LABOR SHEET'!C$6</f>
        <v>42.7</v>
      </c>
      <c r="L676" s="93">
        <f t="shared" ref="L676" si="836">I676*K676</f>
        <v>29.249500000000001</v>
      </c>
      <c r="M676" s="93">
        <f t="shared" ref="M676" si="837">K676*J676</f>
        <v>2749.453</v>
      </c>
      <c r="N676" s="93">
        <v>199</v>
      </c>
      <c r="O676" s="93">
        <f t="shared" ref="O676" si="838">N676*G676</f>
        <v>18706</v>
      </c>
      <c r="P676" s="93">
        <f t="shared" ref="P676" si="839">(I676*K676)+N676</f>
        <v>228.24950000000001</v>
      </c>
      <c r="Q676" s="112">
        <f t="shared" ref="Q676" si="840">P676*G676</f>
        <v>21455.453000000001</v>
      </c>
      <c r="R676" s="195"/>
      <c r="S676" s="195"/>
      <c r="T676" s="195"/>
      <c r="U676" s="195"/>
      <c r="V676" s="195"/>
      <c r="W676" s="195"/>
      <c r="X676" s="195"/>
      <c r="Y676" s="195"/>
      <c r="Z676" s="195"/>
      <c r="AA676" s="195"/>
      <c r="AB676" s="195"/>
      <c r="AC676" s="195"/>
      <c r="AD676" s="195"/>
      <c r="AE676" s="195"/>
      <c r="AF676" s="195"/>
      <c r="AG676" s="195"/>
      <c r="AH676" s="195"/>
      <c r="AI676" s="195"/>
      <c r="AJ676" s="195"/>
    </row>
    <row r="677" spans="1:36" s="30" customFormat="1">
      <c r="A677" s="55">
        <f>IF(F677&lt;&gt;"",1+MAX($A$2:A676),"")</f>
        <v>488</v>
      </c>
      <c r="B677" s="234"/>
      <c r="C677" s="84"/>
      <c r="D677" s="57" t="s">
        <v>503</v>
      </c>
      <c r="E677" s="60">
        <v>27</v>
      </c>
      <c r="F677" s="124">
        <v>0</v>
      </c>
      <c r="G677" s="64">
        <f t="shared" si="834"/>
        <v>27</v>
      </c>
      <c r="H677" s="58" t="s">
        <v>124</v>
      </c>
      <c r="I677" s="90">
        <v>0.77</v>
      </c>
      <c r="J677" s="91">
        <f t="shared" ref="J677:J686" si="841">+I677*G677</f>
        <v>20.79</v>
      </c>
      <c r="K677" s="92">
        <f>'LABOR SHEET'!C$6</f>
        <v>42.7</v>
      </c>
      <c r="L677" s="93">
        <f t="shared" ref="L677:L686" si="842">I677*K677</f>
        <v>32.878999999999998</v>
      </c>
      <c r="M677" s="93">
        <f t="shared" ref="M677:M686" si="843">K677*J677</f>
        <v>887.73299999999995</v>
      </c>
      <c r="N677" s="93">
        <v>220</v>
      </c>
      <c r="O677" s="93">
        <f t="shared" ref="O677:O686" si="844">N677*G677</f>
        <v>5940</v>
      </c>
      <c r="P677" s="93">
        <f t="shared" ref="P677:P686" si="845">(I677*K677)+N677</f>
        <v>252.87899999999999</v>
      </c>
      <c r="Q677" s="112">
        <f t="shared" ref="Q677:Q686" si="846">P677*G677</f>
        <v>6827.7330000000002</v>
      </c>
      <c r="R677" s="195"/>
      <c r="S677" s="195"/>
      <c r="T677" s="195"/>
      <c r="U677" s="195"/>
      <c r="V677" s="195"/>
      <c r="W677" s="195"/>
      <c r="X677" s="195"/>
      <c r="Y677" s="195"/>
      <c r="Z677" s="195"/>
      <c r="AA677" s="195"/>
      <c r="AB677" s="195"/>
      <c r="AC677" s="195"/>
      <c r="AD677" s="195"/>
      <c r="AE677" s="195"/>
      <c r="AF677" s="195"/>
      <c r="AG677" s="195"/>
      <c r="AH677" s="195"/>
      <c r="AI677" s="195"/>
      <c r="AJ677" s="195"/>
    </row>
    <row r="678" spans="1:36" s="30" customFormat="1">
      <c r="A678" s="55">
        <f>IF(F678&lt;&gt;"",1+MAX($A$2:A677),"")</f>
        <v>489</v>
      </c>
      <c r="B678" s="234"/>
      <c r="C678" s="84"/>
      <c r="D678" s="57" t="s">
        <v>504</v>
      </c>
      <c r="E678" s="60">
        <v>178</v>
      </c>
      <c r="F678" s="124">
        <v>0</v>
      </c>
      <c r="G678" s="64">
        <f t="shared" si="834"/>
        <v>178</v>
      </c>
      <c r="H678" s="58" t="s">
        <v>124</v>
      </c>
      <c r="I678" s="90">
        <v>0.62</v>
      </c>
      <c r="J678" s="91">
        <f t="shared" si="841"/>
        <v>110.36</v>
      </c>
      <c r="K678" s="92">
        <f>'LABOR SHEET'!C$6</f>
        <v>42.7</v>
      </c>
      <c r="L678" s="93">
        <f t="shared" si="842"/>
        <v>26.474</v>
      </c>
      <c r="M678" s="93">
        <f t="shared" si="843"/>
        <v>4712.3720000000003</v>
      </c>
      <c r="N678" s="93">
        <v>42</v>
      </c>
      <c r="O678" s="93">
        <f t="shared" si="844"/>
        <v>7476</v>
      </c>
      <c r="P678" s="93">
        <f t="shared" si="845"/>
        <v>68.474000000000004</v>
      </c>
      <c r="Q678" s="112">
        <f t="shared" si="846"/>
        <v>12188.371999999999</v>
      </c>
      <c r="R678" s="195"/>
      <c r="S678" s="195"/>
      <c r="T678" s="195"/>
      <c r="U678" s="195"/>
      <c r="V678" s="195"/>
      <c r="W678" s="195"/>
      <c r="X678" s="195"/>
      <c r="Y678" s="195"/>
      <c r="Z678" s="195"/>
      <c r="AA678" s="195"/>
      <c r="AB678" s="195"/>
      <c r="AC678" s="195"/>
      <c r="AD678" s="195"/>
      <c r="AE678" s="195"/>
      <c r="AF678" s="195"/>
      <c r="AG678" s="195"/>
      <c r="AH678" s="195"/>
      <c r="AI678" s="195"/>
      <c r="AJ678" s="195"/>
    </row>
    <row r="679" spans="1:36" s="30" customFormat="1">
      <c r="A679" s="55">
        <f>IF(F679&lt;&gt;"",1+MAX($A$2:A678),"")</f>
        <v>490</v>
      </c>
      <c r="B679" s="234"/>
      <c r="C679" s="84"/>
      <c r="D679" s="57" t="s">
        <v>505</v>
      </c>
      <c r="E679" s="60">
        <v>46</v>
      </c>
      <c r="F679" s="124">
        <v>0</v>
      </c>
      <c r="G679" s="64">
        <f t="shared" si="834"/>
        <v>46</v>
      </c>
      <c r="H679" s="58" t="s">
        <v>124</v>
      </c>
      <c r="I679" s="90">
        <v>0.76</v>
      </c>
      <c r="J679" s="91">
        <f t="shared" si="841"/>
        <v>34.96</v>
      </c>
      <c r="K679" s="92">
        <f>'LABOR SHEET'!C$6</f>
        <v>42.7</v>
      </c>
      <c r="L679" s="93">
        <f t="shared" si="842"/>
        <v>32.451999999999998</v>
      </c>
      <c r="M679" s="93">
        <f t="shared" si="843"/>
        <v>1492.7919999999999</v>
      </c>
      <c r="N679" s="93">
        <v>55</v>
      </c>
      <c r="O679" s="93">
        <f t="shared" si="844"/>
        <v>2530</v>
      </c>
      <c r="P679" s="93">
        <f t="shared" si="845"/>
        <v>87.451999999999998</v>
      </c>
      <c r="Q679" s="112">
        <f t="shared" si="846"/>
        <v>4022.7919999999999</v>
      </c>
      <c r="R679" s="195"/>
      <c r="S679" s="195"/>
      <c r="T679" s="195"/>
      <c r="U679" s="195"/>
      <c r="V679" s="195"/>
      <c r="W679" s="195"/>
      <c r="X679" s="195"/>
      <c r="Y679" s="195"/>
      <c r="Z679" s="195"/>
      <c r="AA679" s="195"/>
      <c r="AB679" s="195"/>
      <c r="AC679" s="195"/>
      <c r="AD679" s="195"/>
      <c r="AE679" s="195"/>
      <c r="AF679" s="195"/>
      <c r="AG679" s="195"/>
      <c r="AH679" s="195"/>
      <c r="AI679" s="195"/>
      <c r="AJ679" s="195"/>
    </row>
    <row r="680" spans="1:36" s="30" customFormat="1">
      <c r="A680" s="55">
        <f>IF(F680&lt;&gt;"",1+MAX($A$2:A679),"")</f>
        <v>491</v>
      </c>
      <c r="B680" s="234"/>
      <c r="C680" s="84"/>
      <c r="D680" s="57" t="s">
        <v>506</v>
      </c>
      <c r="E680" s="60">
        <v>45</v>
      </c>
      <c r="F680" s="124">
        <v>0</v>
      </c>
      <c r="G680" s="64">
        <f t="shared" si="834"/>
        <v>45</v>
      </c>
      <c r="H680" s="58" t="s">
        <v>124</v>
      </c>
      <c r="I680" s="90">
        <v>2.2000000000000002</v>
      </c>
      <c r="J680" s="91">
        <f t="shared" si="841"/>
        <v>99</v>
      </c>
      <c r="K680" s="92">
        <f>'LABOR SHEET'!C$6</f>
        <v>42.7</v>
      </c>
      <c r="L680" s="93">
        <f t="shared" si="842"/>
        <v>93.94</v>
      </c>
      <c r="M680" s="93">
        <f t="shared" si="843"/>
        <v>4227.3</v>
      </c>
      <c r="N680" s="93">
        <v>227</v>
      </c>
      <c r="O680" s="93">
        <f t="shared" si="844"/>
        <v>10215</v>
      </c>
      <c r="P680" s="93">
        <f t="shared" si="845"/>
        <v>320.94</v>
      </c>
      <c r="Q680" s="112">
        <f t="shared" si="846"/>
        <v>14442.3</v>
      </c>
      <c r="R680" s="195"/>
      <c r="S680" s="195"/>
      <c r="T680" s="195"/>
      <c r="U680" s="195"/>
      <c r="V680" s="195"/>
      <c r="W680" s="195"/>
      <c r="X680" s="195"/>
      <c r="Y680" s="195"/>
      <c r="Z680" s="195"/>
      <c r="AA680" s="195"/>
      <c r="AB680" s="195"/>
      <c r="AC680" s="195"/>
      <c r="AD680" s="195"/>
      <c r="AE680" s="195"/>
      <c r="AF680" s="195"/>
      <c r="AG680" s="195"/>
      <c r="AH680" s="195"/>
      <c r="AI680" s="195"/>
      <c r="AJ680" s="195"/>
    </row>
    <row r="681" spans="1:36" s="30" customFormat="1">
      <c r="A681" s="55">
        <f>IF(F681&lt;&gt;"",1+MAX($A$2:A680),"")</f>
        <v>492</v>
      </c>
      <c r="B681" s="234"/>
      <c r="C681" s="84"/>
      <c r="D681" s="57" t="s">
        <v>507</v>
      </c>
      <c r="E681" s="60">
        <v>15</v>
      </c>
      <c r="F681" s="124">
        <v>0</v>
      </c>
      <c r="G681" s="64">
        <f t="shared" si="834"/>
        <v>15</v>
      </c>
      <c r="H681" s="58" t="s">
        <v>124</v>
      </c>
      <c r="I681" s="90">
        <v>1.7</v>
      </c>
      <c r="J681" s="91">
        <f t="shared" si="841"/>
        <v>25.5</v>
      </c>
      <c r="K681" s="92">
        <f>'LABOR SHEET'!C$6</f>
        <v>42.7</v>
      </c>
      <c r="L681" s="93">
        <f t="shared" si="842"/>
        <v>72.59</v>
      </c>
      <c r="M681" s="93">
        <f t="shared" si="843"/>
        <v>1088.8499999999999</v>
      </c>
      <c r="N681" s="93">
        <v>210</v>
      </c>
      <c r="O681" s="93">
        <f t="shared" si="844"/>
        <v>3150</v>
      </c>
      <c r="P681" s="93">
        <f t="shared" si="845"/>
        <v>282.58999999999997</v>
      </c>
      <c r="Q681" s="112">
        <f t="shared" si="846"/>
        <v>4238.8500000000004</v>
      </c>
      <c r="R681" s="195"/>
      <c r="S681" s="195"/>
      <c r="T681" s="195"/>
      <c r="U681" s="195"/>
      <c r="V681" s="195"/>
      <c r="W681" s="195"/>
      <c r="X681" s="195"/>
      <c r="Y681" s="195"/>
      <c r="Z681" s="195"/>
      <c r="AA681" s="195"/>
      <c r="AB681" s="195"/>
      <c r="AC681" s="195"/>
      <c r="AD681" s="195"/>
      <c r="AE681" s="195"/>
      <c r="AF681" s="195"/>
      <c r="AG681" s="195"/>
      <c r="AH681" s="195"/>
      <c r="AI681" s="195"/>
      <c r="AJ681" s="195"/>
    </row>
    <row r="682" spans="1:36" s="30" customFormat="1">
      <c r="A682" s="55">
        <f>IF(F682&lt;&gt;"",1+MAX($A$2:A681),"")</f>
        <v>493</v>
      </c>
      <c r="B682" s="234"/>
      <c r="C682" s="84"/>
      <c r="D682" s="57" t="s">
        <v>508</v>
      </c>
      <c r="E682" s="60">
        <v>6</v>
      </c>
      <c r="F682" s="124">
        <v>0</v>
      </c>
      <c r="G682" s="64">
        <f t="shared" si="834"/>
        <v>6</v>
      </c>
      <c r="H682" s="58" t="s">
        <v>124</v>
      </c>
      <c r="I682" s="90">
        <v>2</v>
      </c>
      <c r="J682" s="91">
        <f t="shared" si="841"/>
        <v>12</v>
      </c>
      <c r="K682" s="92">
        <f>'LABOR SHEET'!C$6</f>
        <v>42.7</v>
      </c>
      <c r="L682" s="93">
        <f t="shared" si="842"/>
        <v>85.4</v>
      </c>
      <c r="M682" s="93">
        <f t="shared" si="843"/>
        <v>512.4</v>
      </c>
      <c r="N682" s="93">
        <v>270</v>
      </c>
      <c r="O682" s="93">
        <f t="shared" si="844"/>
        <v>1620</v>
      </c>
      <c r="P682" s="93">
        <f t="shared" si="845"/>
        <v>355.4</v>
      </c>
      <c r="Q682" s="112">
        <f t="shared" si="846"/>
        <v>2132.4</v>
      </c>
      <c r="R682" s="195"/>
      <c r="S682" s="195"/>
      <c r="T682" s="195"/>
      <c r="U682" s="195"/>
      <c r="V682" s="195"/>
      <c r="W682" s="195"/>
      <c r="X682" s="195"/>
      <c r="Y682" s="195"/>
      <c r="Z682" s="195"/>
      <c r="AA682" s="195"/>
      <c r="AB682" s="195"/>
      <c r="AC682" s="195"/>
      <c r="AD682" s="195"/>
      <c r="AE682" s="195"/>
      <c r="AF682" s="195"/>
      <c r="AG682" s="195"/>
      <c r="AH682" s="195"/>
      <c r="AI682" s="195"/>
      <c r="AJ682" s="195"/>
    </row>
    <row r="683" spans="1:36" s="30" customFormat="1">
      <c r="A683" s="55">
        <f>IF(F683&lt;&gt;"",1+MAX($A$2:A682),"")</f>
        <v>494</v>
      </c>
      <c r="B683" s="234"/>
      <c r="C683" s="84"/>
      <c r="D683" s="57" t="s">
        <v>509</v>
      </c>
      <c r="E683" s="60">
        <v>4</v>
      </c>
      <c r="F683" s="124">
        <v>0</v>
      </c>
      <c r="G683" s="64">
        <f t="shared" si="834"/>
        <v>4</v>
      </c>
      <c r="H683" s="58" t="s">
        <v>124</v>
      </c>
      <c r="I683" s="90">
        <v>2</v>
      </c>
      <c r="J683" s="91">
        <f t="shared" si="841"/>
        <v>8</v>
      </c>
      <c r="K683" s="92">
        <f>'LABOR SHEET'!C$6</f>
        <v>42.7</v>
      </c>
      <c r="L683" s="93">
        <f t="shared" si="842"/>
        <v>85.4</v>
      </c>
      <c r="M683" s="93">
        <f t="shared" si="843"/>
        <v>341.6</v>
      </c>
      <c r="N683" s="93">
        <v>260</v>
      </c>
      <c r="O683" s="93">
        <f t="shared" si="844"/>
        <v>1040</v>
      </c>
      <c r="P683" s="93">
        <f t="shared" si="845"/>
        <v>345.4</v>
      </c>
      <c r="Q683" s="112">
        <f t="shared" si="846"/>
        <v>1381.6</v>
      </c>
      <c r="R683" s="195"/>
      <c r="S683" s="195"/>
      <c r="T683" s="195"/>
      <c r="U683" s="195"/>
      <c r="V683" s="195"/>
      <c r="W683" s="195"/>
      <c r="X683" s="195"/>
      <c r="Y683" s="195"/>
      <c r="Z683" s="195"/>
      <c r="AA683" s="195"/>
      <c r="AB683" s="195"/>
      <c r="AC683" s="195"/>
      <c r="AD683" s="195"/>
      <c r="AE683" s="195"/>
      <c r="AF683" s="195"/>
      <c r="AG683" s="195"/>
      <c r="AH683" s="195"/>
      <c r="AI683" s="195"/>
      <c r="AJ683" s="195"/>
    </row>
    <row r="684" spans="1:36" s="30" customFormat="1">
      <c r="A684" s="55">
        <f>IF(F684&lt;&gt;"",1+MAX($A$2:A683),"")</f>
        <v>495</v>
      </c>
      <c r="B684" s="234"/>
      <c r="C684" s="84"/>
      <c r="D684" s="57" t="s">
        <v>510</v>
      </c>
      <c r="E684" s="60">
        <v>7</v>
      </c>
      <c r="F684" s="124">
        <v>0</v>
      </c>
      <c r="G684" s="64">
        <f t="shared" si="834"/>
        <v>7</v>
      </c>
      <c r="H684" s="58" t="s">
        <v>124</v>
      </c>
      <c r="I684" s="90">
        <v>4</v>
      </c>
      <c r="J684" s="91">
        <f t="shared" si="841"/>
        <v>28</v>
      </c>
      <c r="K684" s="92">
        <f>'LABOR SHEET'!C$6</f>
        <v>42.7</v>
      </c>
      <c r="L684" s="93">
        <f t="shared" si="842"/>
        <v>170.8</v>
      </c>
      <c r="M684" s="93">
        <f t="shared" si="843"/>
        <v>1195.5999999999999</v>
      </c>
      <c r="N684" s="93">
        <v>330.91</v>
      </c>
      <c r="O684" s="93">
        <f t="shared" si="844"/>
        <v>2316.37</v>
      </c>
      <c r="P684" s="93">
        <f t="shared" si="845"/>
        <v>501.71</v>
      </c>
      <c r="Q684" s="112">
        <f t="shared" si="846"/>
        <v>3511.97</v>
      </c>
      <c r="R684" s="195"/>
      <c r="S684" s="195"/>
      <c r="T684" s="195"/>
      <c r="U684" s="195"/>
      <c r="V684" s="195"/>
      <c r="W684" s="195"/>
      <c r="X684" s="195"/>
      <c r="Y684" s="195"/>
      <c r="Z684" s="195"/>
      <c r="AA684" s="195"/>
      <c r="AB684" s="195"/>
      <c r="AC684" s="195"/>
      <c r="AD684" s="195"/>
      <c r="AE684" s="195"/>
      <c r="AF684" s="195"/>
      <c r="AG684" s="195"/>
      <c r="AH684" s="195"/>
      <c r="AI684" s="195"/>
      <c r="AJ684" s="195"/>
    </row>
    <row r="685" spans="1:36" s="30" customFormat="1">
      <c r="A685" s="55">
        <f>IF(F685&lt;&gt;"",1+MAX($A$2:A684),"")</f>
        <v>496</v>
      </c>
      <c r="B685" s="234"/>
      <c r="C685" s="84"/>
      <c r="D685" s="57" t="s">
        <v>511</v>
      </c>
      <c r="E685" s="60">
        <v>9</v>
      </c>
      <c r="F685" s="124">
        <v>0</v>
      </c>
      <c r="G685" s="64">
        <f t="shared" si="834"/>
        <v>9</v>
      </c>
      <c r="H685" s="58" t="s">
        <v>124</v>
      </c>
      <c r="I685" s="90">
        <v>1.4</v>
      </c>
      <c r="J685" s="91">
        <f t="shared" si="841"/>
        <v>12.6</v>
      </c>
      <c r="K685" s="92">
        <f>'LABOR SHEET'!C$6</f>
        <v>42.7</v>
      </c>
      <c r="L685" s="93">
        <f t="shared" si="842"/>
        <v>59.78</v>
      </c>
      <c r="M685" s="93">
        <f t="shared" si="843"/>
        <v>538.02</v>
      </c>
      <c r="N685" s="93">
        <v>144.6</v>
      </c>
      <c r="O685" s="93">
        <f t="shared" si="844"/>
        <v>1301.4000000000001</v>
      </c>
      <c r="P685" s="93">
        <f t="shared" si="845"/>
        <v>204.38</v>
      </c>
      <c r="Q685" s="112">
        <f t="shared" si="846"/>
        <v>1839.42</v>
      </c>
      <c r="R685" s="195"/>
      <c r="S685" s="195"/>
      <c r="T685" s="195"/>
      <c r="U685" s="195"/>
      <c r="V685" s="195"/>
      <c r="W685" s="195"/>
      <c r="X685" s="195"/>
      <c r="Y685" s="195"/>
      <c r="Z685" s="195"/>
      <c r="AA685" s="195"/>
      <c r="AB685" s="195"/>
      <c r="AC685" s="195"/>
      <c r="AD685" s="195"/>
      <c r="AE685" s="195"/>
      <c r="AF685" s="195"/>
      <c r="AG685" s="195"/>
      <c r="AH685" s="195"/>
      <c r="AI685" s="195"/>
      <c r="AJ685" s="195"/>
    </row>
    <row r="686" spans="1:36" s="30" customFormat="1">
      <c r="A686" s="55">
        <f>IF(F686&lt;&gt;"",1+MAX($A$2:A685),"")</f>
        <v>497</v>
      </c>
      <c r="B686" s="234"/>
      <c r="C686" s="84"/>
      <c r="D686" s="57" t="s">
        <v>512</v>
      </c>
      <c r="E686" s="60">
        <v>3</v>
      </c>
      <c r="F686" s="124">
        <v>0</v>
      </c>
      <c r="G686" s="64">
        <f t="shared" si="834"/>
        <v>3</v>
      </c>
      <c r="H686" s="58" t="s">
        <v>124</v>
      </c>
      <c r="I686" s="90">
        <v>1.7</v>
      </c>
      <c r="J686" s="91">
        <f t="shared" si="841"/>
        <v>5.0999999999999996</v>
      </c>
      <c r="K686" s="92">
        <f>'LABOR SHEET'!C$6</f>
        <v>42.7</v>
      </c>
      <c r="L686" s="93">
        <f t="shared" si="842"/>
        <v>72.59</v>
      </c>
      <c r="M686" s="93">
        <f t="shared" si="843"/>
        <v>217.77</v>
      </c>
      <c r="N686" s="93">
        <v>199</v>
      </c>
      <c r="O686" s="93">
        <f t="shared" si="844"/>
        <v>597</v>
      </c>
      <c r="P686" s="93">
        <f t="shared" si="845"/>
        <v>271.58999999999997</v>
      </c>
      <c r="Q686" s="112">
        <f t="shared" si="846"/>
        <v>814.77</v>
      </c>
      <c r="R686" s="195"/>
      <c r="S686" s="195"/>
      <c r="T686" s="195"/>
      <c r="U686" s="195"/>
      <c r="V686" s="195"/>
      <c r="W686" s="195"/>
      <c r="X686" s="195"/>
      <c r="Y686" s="195"/>
      <c r="Z686" s="195"/>
      <c r="AA686" s="195"/>
      <c r="AB686" s="195"/>
      <c r="AC686" s="195"/>
      <c r="AD686" s="195"/>
      <c r="AE686" s="195"/>
      <c r="AF686" s="195"/>
      <c r="AG686" s="195"/>
      <c r="AH686" s="195"/>
      <c r="AI686" s="195"/>
      <c r="AJ686" s="195"/>
    </row>
    <row r="687" spans="1:36" s="30" customFormat="1">
      <c r="A687" s="55" t="str">
        <f>IF(F687&lt;&gt;"",1+MAX($A$2:A686),"")</f>
        <v/>
      </c>
      <c r="B687" s="234"/>
      <c r="C687" s="84"/>
      <c r="D687" s="57"/>
      <c r="E687" s="60"/>
      <c r="F687" s="124"/>
      <c r="G687" s="145"/>
      <c r="H687" s="58"/>
      <c r="I687" s="90"/>
      <c r="J687" s="91"/>
      <c r="K687" s="92"/>
      <c r="L687" s="93"/>
      <c r="M687" s="93"/>
      <c r="N687" s="93"/>
      <c r="O687" s="93"/>
      <c r="P687" s="93"/>
      <c r="Q687" s="112"/>
      <c r="R687" s="195"/>
      <c r="S687" s="195"/>
      <c r="T687" s="195"/>
      <c r="U687" s="195"/>
      <c r="V687" s="195"/>
      <c r="W687" s="195"/>
      <c r="X687" s="195"/>
      <c r="Y687" s="195"/>
      <c r="Z687" s="195"/>
      <c r="AA687" s="195"/>
      <c r="AB687" s="195"/>
      <c r="AC687" s="195"/>
      <c r="AD687" s="195"/>
      <c r="AE687" s="195"/>
      <c r="AF687" s="195"/>
      <c r="AG687" s="195"/>
      <c r="AH687" s="195"/>
      <c r="AI687" s="195"/>
      <c r="AJ687" s="195"/>
    </row>
    <row r="688" spans="1:36" s="30" customFormat="1">
      <c r="A688" s="55" t="str">
        <f>IF(F688&lt;&gt;"",1+MAX($A$2:A687),"")</f>
        <v/>
      </c>
      <c r="B688" s="234"/>
      <c r="C688" s="84"/>
      <c r="D688" s="209" t="s">
        <v>513</v>
      </c>
      <c r="E688" s="60"/>
      <c r="F688" s="124"/>
      <c r="G688" s="145"/>
      <c r="H688" s="58"/>
      <c r="I688" s="90"/>
      <c r="J688" s="91"/>
      <c r="K688" s="92"/>
      <c r="L688" s="93"/>
      <c r="M688" s="93"/>
      <c r="N688" s="93"/>
      <c r="O688" s="93"/>
      <c r="P688" s="93"/>
      <c r="Q688" s="112"/>
      <c r="R688" s="195"/>
      <c r="S688" s="195"/>
      <c r="T688" s="195"/>
      <c r="U688" s="195"/>
      <c r="V688" s="195"/>
      <c r="W688" s="195"/>
      <c r="X688" s="195"/>
      <c r="Y688" s="195"/>
      <c r="Z688" s="195"/>
      <c r="AA688" s="195"/>
      <c r="AB688" s="195"/>
      <c r="AC688" s="195"/>
      <c r="AD688" s="195"/>
      <c r="AE688" s="195"/>
      <c r="AF688" s="195"/>
      <c r="AG688" s="195"/>
      <c r="AH688" s="195"/>
      <c r="AI688" s="195"/>
      <c r="AJ688" s="195"/>
    </row>
    <row r="689" spans="1:36" s="30" customFormat="1">
      <c r="A689" s="55">
        <f>IF(F689&lt;&gt;"",1+MAX($A$2:A688),"")</f>
        <v>498</v>
      </c>
      <c r="B689" s="234"/>
      <c r="C689" s="84"/>
      <c r="D689" s="57" t="s">
        <v>514</v>
      </c>
      <c r="E689" s="60">
        <v>128</v>
      </c>
      <c r="F689" s="124">
        <v>0</v>
      </c>
      <c r="G689" s="64">
        <f t="shared" ref="G689:G693" si="847">(F689*E689)+E689</f>
        <v>128</v>
      </c>
      <c r="H689" s="58" t="s">
        <v>124</v>
      </c>
      <c r="I689" s="90">
        <v>0.48</v>
      </c>
      <c r="J689" s="91">
        <f t="shared" ref="J689:J693" si="848">+I689*G689</f>
        <v>61.44</v>
      </c>
      <c r="K689" s="92">
        <f>'LABOR SHEET'!C$6</f>
        <v>42.7</v>
      </c>
      <c r="L689" s="93">
        <f t="shared" ref="L689:L693" si="849">I689*K689</f>
        <v>20.495999999999999</v>
      </c>
      <c r="M689" s="93">
        <f t="shared" ref="M689:M693" si="850">K689*J689</f>
        <v>2623.4879999999998</v>
      </c>
      <c r="N689" s="93">
        <v>48</v>
      </c>
      <c r="O689" s="93">
        <f t="shared" ref="O689:O693" si="851">N689*G689</f>
        <v>6144</v>
      </c>
      <c r="P689" s="93">
        <f t="shared" ref="P689:P693" si="852">(I689*K689)+N689</f>
        <v>68.495999999999995</v>
      </c>
      <c r="Q689" s="112">
        <f t="shared" ref="Q689:Q693" si="853">P689*G689</f>
        <v>8767.4879999999994</v>
      </c>
      <c r="R689" s="195"/>
      <c r="S689" s="195"/>
      <c r="T689" s="195"/>
      <c r="U689" s="195"/>
      <c r="V689" s="195"/>
      <c r="W689" s="195"/>
      <c r="X689" s="195"/>
      <c r="Y689" s="195"/>
      <c r="Z689" s="195"/>
      <c r="AA689" s="195"/>
      <c r="AB689" s="195"/>
      <c r="AC689" s="195"/>
      <c r="AD689" s="195"/>
      <c r="AE689" s="195"/>
      <c r="AF689" s="195"/>
      <c r="AG689" s="195"/>
      <c r="AH689" s="195"/>
      <c r="AI689" s="195"/>
      <c r="AJ689" s="195"/>
    </row>
    <row r="690" spans="1:36" s="30" customFormat="1">
      <c r="A690" s="55">
        <f>IF(F690&lt;&gt;"",1+MAX($A$2:A689),"")</f>
        <v>499</v>
      </c>
      <c r="B690" s="234"/>
      <c r="C690" s="84"/>
      <c r="D690" s="57" t="s">
        <v>515</v>
      </c>
      <c r="E690" s="60">
        <v>69</v>
      </c>
      <c r="F690" s="124">
        <v>0</v>
      </c>
      <c r="G690" s="64">
        <f t="shared" si="847"/>
        <v>69</v>
      </c>
      <c r="H690" s="58" t="s">
        <v>124</v>
      </c>
      <c r="I690" s="90">
        <v>0.68</v>
      </c>
      <c r="J690" s="91">
        <f t="shared" si="848"/>
        <v>46.92</v>
      </c>
      <c r="K690" s="92">
        <f>'LABOR SHEET'!C$6</f>
        <v>42.7</v>
      </c>
      <c r="L690" s="93">
        <f t="shared" si="849"/>
        <v>29.036000000000001</v>
      </c>
      <c r="M690" s="93">
        <f t="shared" si="850"/>
        <v>2003.4839999999999</v>
      </c>
      <c r="N690" s="93">
        <v>68.5</v>
      </c>
      <c r="O690" s="93">
        <f t="shared" si="851"/>
        <v>4726.5</v>
      </c>
      <c r="P690" s="93">
        <f t="shared" si="852"/>
        <v>97.536000000000001</v>
      </c>
      <c r="Q690" s="112">
        <f t="shared" si="853"/>
        <v>6729.9840000000004</v>
      </c>
      <c r="R690" s="195"/>
      <c r="S690" s="195"/>
      <c r="T690" s="195"/>
      <c r="U690" s="195"/>
      <c r="V690" s="195"/>
      <c r="W690" s="195"/>
      <c r="X690" s="195"/>
      <c r="Y690" s="195"/>
      <c r="Z690" s="195"/>
      <c r="AA690" s="195"/>
      <c r="AB690" s="195"/>
      <c r="AC690" s="195"/>
      <c r="AD690" s="195"/>
      <c r="AE690" s="195"/>
      <c r="AF690" s="195"/>
      <c r="AG690" s="195"/>
      <c r="AH690" s="195"/>
      <c r="AI690" s="195"/>
      <c r="AJ690" s="195"/>
    </row>
    <row r="691" spans="1:36" s="30" customFormat="1">
      <c r="A691" s="55">
        <f>IF(F691&lt;&gt;"",1+MAX($A$2:A690),"")</f>
        <v>500</v>
      </c>
      <c r="B691" s="234"/>
      <c r="C691" s="84"/>
      <c r="D691" s="57" t="s">
        <v>516</v>
      </c>
      <c r="E691" s="60">
        <v>33</v>
      </c>
      <c r="F691" s="124">
        <v>0</v>
      </c>
      <c r="G691" s="64">
        <f t="shared" si="847"/>
        <v>33</v>
      </c>
      <c r="H691" s="58" t="s">
        <v>124</v>
      </c>
      <c r="I691" s="90">
        <v>0.77</v>
      </c>
      <c r="J691" s="91">
        <f t="shared" si="848"/>
        <v>25.41</v>
      </c>
      <c r="K691" s="92">
        <f>'LABOR SHEET'!C$6</f>
        <v>42.7</v>
      </c>
      <c r="L691" s="93">
        <f t="shared" si="849"/>
        <v>32.878999999999998</v>
      </c>
      <c r="M691" s="93">
        <f t="shared" si="850"/>
        <v>1085.0070000000001</v>
      </c>
      <c r="N691" s="93">
        <v>79</v>
      </c>
      <c r="O691" s="93">
        <f t="shared" si="851"/>
        <v>2607</v>
      </c>
      <c r="P691" s="93">
        <f t="shared" si="852"/>
        <v>111.879</v>
      </c>
      <c r="Q691" s="112">
        <f t="shared" si="853"/>
        <v>3692.0070000000001</v>
      </c>
      <c r="R691" s="195"/>
      <c r="S691" s="195"/>
      <c r="T691" s="195"/>
      <c r="U691" s="195"/>
      <c r="V691" s="195"/>
      <c r="W691" s="195"/>
      <c r="X691" s="195"/>
      <c r="Y691" s="195"/>
      <c r="Z691" s="195"/>
      <c r="AA691" s="195"/>
      <c r="AB691" s="195"/>
      <c r="AC691" s="195"/>
      <c r="AD691" s="195"/>
      <c r="AE691" s="195"/>
      <c r="AF691" s="195"/>
      <c r="AG691" s="195"/>
      <c r="AH691" s="195"/>
      <c r="AI691" s="195"/>
      <c r="AJ691" s="195"/>
    </row>
    <row r="692" spans="1:36" s="30" customFormat="1">
      <c r="A692" s="55">
        <f>IF(F692&lt;&gt;"",1+MAX($A$2:A691),"")</f>
        <v>501</v>
      </c>
      <c r="B692" s="234"/>
      <c r="C692" s="84"/>
      <c r="D692" s="57" t="s">
        <v>517</v>
      </c>
      <c r="E692" s="60">
        <v>4</v>
      </c>
      <c r="F692" s="124">
        <v>0</v>
      </c>
      <c r="G692" s="64">
        <f t="shared" si="847"/>
        <v>4</v>
      </c>
      <c r="H692" s="58" t="s">
        <v>124</v>
      </c>
      <c r="I692" s="90">
        <v>0.65</v>
      </c>
      <c r="J692" s="91">
        <f t="shared" si="848"/>
        <v>2.6</v>
      </c>
      <c r="K692" s="92">
        <f>'LABOR SHEET'!C$6</f>
        <v>42.7</v>
      </c>
      <c r="L692" s="93">
        <f t="shared" si="849"/>
        <v>27.754999999999999</v>
      </c>
      <c r="M692" s="93">
        <f t="shared" si="850"/>
        <v>111.02</v>
      </c>
      <c r="N692" s="93">
        <v>87</v>
      </c>
      <c r="O692" s="93">
        <f t="shared" si="851"/>
        <v>348</v>
      </c>
      <c r="P692" s="93">
        <f t="shared" si="852"/>
        <v>114.755</v>
      </c>
      <c r="Q692" s="112">
        <f t="shared" si="853"/>
        <v>459.02</v>
      </c>
      <c r="R692" s="195"/>
      <c r="S692" s="195"/>
      <c r="T692" s="195"/>
      <c r="U692" s="195"/>
      <c r="V692" s="195"/>
      <c r="W692" s="195"/>
      <c r="X692" s="195"/>
      <c r="Y692" s="195"/>
      <c r="Z692" s="195"/>
      <c r="AA692" s="195"/>
      <c r="AB692" s="195"/>
      <c r="AC692" s="195"/>
      <c r="AD692" s="195"/>
      <c r="AE692" s="195"/>
      <c r="AF692" s="195"/>
      <c r="AG692" s="195"/>
      <c r="AH692" s="195"/>
      <c r="AI692" s="195"/>
      <c r="AJ692" s="195"/>
    </row>
    <row r="693" spans="1:36" s="30" customFormat="1">
      <c r="A693" s="55">
        <f>IF(F693&lt;&gt;"",1+MAX($A$2:A692),"")</f>
        <v>502</v>
      </c>
      <c r="B693" s="234"/>
      <c r="C693" s="84"/>
      <c r="D693" s="57" t="s">
        <v>518</v>
      </c>
      <c r="E693" s="60">
        <v>1</v>
      </c>
      <c r="F693" s="124">
        <v>0</v>
      </c>
      <c r="G693" s="64">
        <f t="shared" si="847"/>
        <v>1</v>
      </c>
      <c r="H693" s="58" t="s">
        <v>124</v>
      </c>
      <c r="I693" s="90">
        <v>0.7</v>
      </c>
      <c r="J693" s="91">
        <f t="shared" si="848"/>
        <v>0.7</v>
      </c>
      <c r="K693" s="92">
        <f>'LABOR SHEET'!C$6</f>
        <v>42.7</v>
      </c>
      <c r="L693" s="93">
        <f t="shared" si="849"/>
        <v>29.89</v>
      </c>
      <c r="M693" s="93">
        <f t="shared" si="850"/>
        <v>29.89</v>
      </c>
      <c r="N693" s="93">
        <v>99</v>
      </c>
      <c r="O693" s="93">
        <f t="shared" si="851"/>
        <v>99</v>
      </c>
      <c r="P693" s="93">
        <f t="shared" si="852"/>
        <v>128.88999999999999</v>
      </c>
      <c r="Q693" s="112">
        <f t="shared" si="853"/>
        <v>128.88999999999999</v>
      </c>
      <c r="R693" s="195"/>
      <c r="S693" s="195"/>
      <c r="T693" s="195"/>
      <c r="U693" s="195"/>
      <c r="V693" s="195"/>
      <c r="W693" s="195"/>
      <c r="X693" s="195"/>
      <c r="Y693" s="195"/>
      <c r="Z693" s="195"/>
      <c r="AA693" s="195"/>
      <c r="AB693" s="195"/>
      <c r="AC693" s="195"/>
      <c r="AD693" s="195"/>
      <c r="AE693" s="195"/>
      <c r="AF693" s="195"/>
      <c r="AG693" s="195"/>
      <c r="AH693" s="195"/>
      <c r="AI693" s="195"/>
      <c r="AJ693" s="195"/>
    </row>
    <row r="694" spans="1:36" s="30" customFormat="1">
      <c r="A694" s="55" t="str">
        <f>IF(F694&lt;&gt;"",1+MAX($A$2:A693),"")</f>
        <v/>
      </c>
      <c r="B694" s="234"/>
      <c r="C694" s="84"/>
      <c r="D694" s="57"/>
      <c r="E694" s="60"/>
      <c r="F694" s="124"/>
      <c r="G694" s="145"/>
      <c r="H694" s="58"/>
      <c r="I694" s="90"/>
      <c r="J694" s="91"/>
      <c r="K694" s="92"/>
      <c r="L694" s="93"/>
      <c r="M694" s="93"/>
      <c r="N694" s="93"/>
      <c r="O694" s="93"/>
      <c r="P694" s="93"/>
      <c r="Q694" s="112"/>
      <c r="R694" s="195"/>
      <c r="S694" s="195"/>
      <c r="T694" s="195"/>
      <c r="U694" s="195"/>
      <c r="V694" s="195"/>
      <c r="W694" s="195"/>
      <c r="X694" s="195"/>
      <c r="Y694" s="195"/>
      <c r="Z694" s="195"/>
      <c r="AA694" s="195"/>
      <c r="AB694" s="195"/>
      <c r="AC694" s="195"/>
      <c r="AD694" s="195"/>
      <c r="AE694" s="195"/>
      <c r="AF694" s="195"/>
      <c r="AG694" s="195"/>
      <c r="AH694" s="195"/>
      <c r="AI694" s="195"/>
      <c r="AJ694" s="195"/>
    </row>
    <row r="695" spans="1:36" s="30" customFormat="1">
      <c r="A695" s="55" t="str">
        <f>IF(F695&lt;&gt;"",1+MAX($A$2:A694),"")</f>
        <v/>
      </c>
      <c r="B695" s="234"/>
      <c r="C695" s="60"/>
      <c r="D695" s="209" t="s">
        <v>519</v>
      </c>
      <c r="E695" s="60"/>
      <c r="F695" s="60"/>
      <c r="G695" s="60"/>
      <c r="H695" s="58"/>
      <c r="I695" s="224"/>
      <c r="J695" s="225"/>
      <c r="K695" s="226"/>
      <c r="L695" s="93"/>
      <c r="M695" s="93"/>
      <c r="N695" s="93"/>
      <c r="O695" s="93"/>
      <c r="P695" s="93"/>
      <c r="Q695" s="111"/>
      <c r="R695" s="195"/>
      <c r="S695" s="195"/>
      <c r="T695" s="195"/>
      <c r="U695" s="195"/>
      <c r="V695" s="195"/>
      <c r="W695" s="195"/>
      <c r="X695" s="195"/>
      <c r="Y695" s="195"/>
      <c r="Z695" s="195"/>
      <c r="AA695" s="195"/>
      <c r="AB695" s="195"/>
      <c r="AC695" s="195"/>
      <c r="AD695" s="195"/>
      <c r="AE695" s="195"/>
      <c r="AF695" s="195"/>
      <c r="AG695" s="195"/>
      <c r="AH695" s="195"/>
      <c r="AI695" s="195"/>
      <c r="AJ695" s="195"/>
    </row>
    <row r="696" spans="1:36" s="30" customFormat="1">
      <c r="A696" s="55">
        <f>IF(F696&lt;&gt;"",1+MAX($A$2:A695),"")</f>
        <v>503</v>
      </c>
      <c r="B696" s="234"/>
      <c r="C696" s="84"/>
      <c r="D696" s="57" t="s">
        <v>520</v>
      </c>
      <c r="E696" s="60">
        <v>10</v>
      </c>
      <c r="F696" s="124">
        <v>0</v>
      </c>
      <c r="G696" s="64">
        <f t="shared" ref="G696:G697" si="854">(F696*E696)+E696</f>
        <v>10</v>
      </c>
      <c r="H696" s="58" t="s">
        <v>124</v>
      </c>
      <c r="I696" s="90">
        <v>0.86</v>
      </c>
      <c r="J696" s="91">
        <f t="shared" ref="J696:J697" si="855">+I696*G696</f>
        <v>8.6</v>
      </c>
      <c r="K696" s="92">
        <f>'LABOR SHEET'!C$6</f>
        <v>42.7</v>
      </c>
      <c r="L696" s="93">
        <f t="shared" ref="L696:L697" si="856">I696*K696</f>
        <v>36.722000000000001</v>
      </c>
      <c r="M696" s="93">
        <f t="shared" ref="M696:M697" si="857">K696*J696</f>
        <v>367.22</v>
      </c>
      <c r="N696" s="93">
        <v>142</v>
      </c>
      <c r="O696" s="93">
        <f t="shared" ref="O696:O697" si="858">N696*G696</f>
        <v>1420</v>
      </c>
      <c r="P696" s="93">
        <f t="shared" ref="P696:P697" si="859">(I696*K696)+N696</f>
        <v>178.72200000000001</v>
      </c>
      <c r="Q696" s="112">
        <f t="shared" ref="Q696:Q697" si="860">P696*G696</f>
        <v>1787.22</v>
      </c>
      <c r="R696" s="195"/>
      <c r="S696" s="195"/>
      <c r="T696" s="195"/>
      <c r="U696" s="195"/>
      <c r="V696" s="195"/>
      <c r="W696" s="195"/>
      <c r="X696" s="195"/>
      <c r="Y696" s="195"/>
      <c r="Z696" s="195"/>
      <c r="AA696" s="195"/>
      <c r="AB696" s="195"/>
      <c r="AC696" s="195"/>
      <c r="AD696" s="195"/>
      <c r="AE696" s="195"/>
      <c r="AF696" s="195"/>
      <c r="AG696" s="195"/>
      <c r="AH696" s="195"/>
      <c r="AI696" s="195"/>
      <c r="AJ696" s="195"/>
    </row>
    <row r="697" spans="1:36" s="30" customFormat="1">
      <c r="A697" s="55">
        <f>IF(F697&lt;&gt;"",1+MAX($A$2:A696),"")</f>
        <v>504</v>
      </c>
      <c r="B697" s="234"/>
      <c r="C697" s="84"/>
      <c r="D697" s="57" t="s">
        <v>521</v>
      </c>
      <c r="E697" s="60">
        <v>4</v>
      </c>
      <c r="F697" s="124">
        <v>0</v>
      </c>
      <c r="G697" s="64">
        <f t="shared" si="854"/>
        <v>4</v>
      </c>
      <c r="H697" s="58" t="s">
        <v>124</v>
      </c>
      <c r="I697" s="90">
        <v>4.5999999999999996</v>
      </c>
      <c r="J697" s="91">
        <f t="shared" si="855"/>
        <v>18.399999999999999</v>
      </c>
      <c r="K697" s="92">
        <f>'LABOR SHEET'!C$6</f>
        <v>42.7</v>
      </c>
      <c r="L697" s="93">
        <f t="shared" si="856"/>
        <v>196.42</v>
      </c>
      <c r="M697" s="93">
        <f t="shared" si="857"/>
        <v>785.68</v>
      </c>
      <c r="N697" s="93">
        <v>699</v>
      </c>
      <c r="O697" s="93">
        <f t="shared" si="858"/>
        <v>2796</v>
      </c>
      <c r="P697" s="93">
        <f t="shared" si="859"/>
        <v>895.42</v>
      </c>
      <c r="Q697" s="112">
        <f t="shared" si="860"/>
        <v>3581.68</v>
      </c>
      <c r="R697" s="195"/>
      <c r="S697" s="195"/>
      <c r="T697" s="195"/>
      <c r="U697" s="195"/>
      <c r="V697" s="195"/>
      <c r="W697" s="195"/>
      <c r="X697" s="195"/>
      <c r="Y697" s="195"/>
      <c r="Z697" s="195"/>
      <c r="AA697" s="195"/>
      <c r="AB697" s="195"/>
      <c r="AC697" s="195"/>
      <c r="AD697" s="195"/>
      <c r="AE697" s="195"/>
      <c r="AF697" s="195"/>
      <c r="AG697" s="195"/>
      <c r="AH697" s="195"/>
      <c r="AI697" s="195"/>
      <c r="AJ697" s="195"/>
    </row>
    <row r="698" spans="1:36" s="30" customFormat="1">
      <c r="A698" s="55" t="str">
        <f>IF(F698&lt;&gt;"",1+MAX($A$2:A697),"")</f>
        <v/>
      </c>
      <c r="B698" s="234"/>
      <c r="C698" s="84"/>
      <c r="D698" s="57"/>
      <c r="E698" s="60"/>
      <c r="F698" s="124"/>
      <c r="G698" s="145"/>
      <c r="H698" s="58"/>
      <c r="I698" s="90"/>
      <c r="J698" s="91"/>
      <c r="K698" s="92"/>
      <c r="L698" s="93"/>
      <c r="M698" s="93"/>
      <c r="N698" s="93"/>
      <c r="O698" s="93"/>
      <c r="P698" s="93"/>
      <c r="Q698" s="112"/>
      <c r="R698" s="195"/>
      <c r="S698" s="195"/>
      <c r="T698" s="195"/>
      <c r="U698" s="195"/>
      <c r="V698" s="195"/>
      <c r="W698" s="195"/>
      <c r="X698" s="195"/>
      <c r="Y698" s="195"/>
      <c r="Z698" s="195"/>
      <c r="AA698" s="195"/>
      <c r="AB698" s="195"/>
      <c r="AC698" s="195"/>
      <c r="AD698" s="195"/>
      <c r="AE698" s="195"/>
      <c r="AF698" s="195"/>
      <c r="AG698" s="195"/>
      <c r="AH698" s="195"/>
      <c r="AI698" s="195"/>
      <c r="AJ698" s="195"/>
    </row>
    <row r="699" spans="1:36" s="30" customFormat="1">
      <c r="A699" s="55" t="str">
        <f>IF(F699&lt;&gt;"",1+MAX($A$2:A698),"")</f>
        <v/>
      </c>
      <c r="B699" s="234"/>
      <c r="C699" s="60"/>
      <c r="D699" s="235" t="s">
        <v>522</v>
      </c>
      <c r="E699" s="60"/>
      <c r="F699" s="60"/>
      <c r="G699" s="60"/>
      <c r="H699" s="58"/>
      <c r="I699" s="224"/>
      <c r="J699" s="225"/>
      <c r="K699" s="226"/>
      <c r="L699" s="93"/>
      <c r="M699" s="93"/>
      <c r="N699" s="93"/>
      <c r="O699" s="93"/>
      <c r="P699" s="93"/>
      <c r="Q699" s="111"/>
      <c r="R699" s="195"/>
      <c r="S699" s="195"/>
      <c r="T699" s="195"/>
      <c r="U699" s="195"/>
      <c r="V699" s="195"/>
      <c r="W699" s="195"/>
      <c r="X699" s="195"/>
      <c r="Y699" s="195"/>
      <c r="Z699" s="195"/>
      <c r="AA699" s="195"/>
      <c r="AB699" s="195"/>
      <c r="AC699" s="195"/>
      <c r="AD699" s="195"/>
      <c r="AE699" s="195"/>
      <c r="AF699" s="195"/>
      <c r="AG699" s="195"/>
      <c r="AH699" s="195"/>
      <c r="AI699" s="195"/>
      <c r="AJ699" s="195"/>
    </row>
    <row r="700" spans="1:36" s="30" customFormat="1">
      <c r="A700" s="55">
        <f>IF(F700&lt;&gt;"",1+MAX($A$2:A699),"")</f>
        <v>505</v>
      </c>
      <c r="B700" s="234"/>
      <c r="C700" s="84"/>
      <c r="D700" s="57" t="s">
        <v>523</v>
      </c>
      <c r="E700" s="60">
        <v>1</v>
      </c>
      <c r="F700" s="124">
        <v>0</v>
      </c>
      <c r="G700" s="64">
        <f>(F700*E700)+E700</f>
        <v>1</v>
      </c>
      <c r="H700" s="58" t="s">
        <v>124</v>
      </c>
      <c r="I700" s="90">
        <v>36</v>
      </c>
      <c r="J700" s="91">
        <f>+I700*G700</f>
        <v>36</v>
      </c>
      <c r="K700" s="92">
        <f>'LABOR SHEET'!C$6</f>
        <v>42.7</v>
      </c>
      <c r="L700" s="93">
        <f>I700*K700</f>
        <v>1537.2</v>
      </c>
      <c r="M700" s="93">
        <f>K700*J700</f>
        <v>1537.2</v>
      </c>
      <c r="N700" s="93">
        <v>4800</v>
      </c>
      <c r="O700" s="93">
        <f>N700*G700</f>
        <v>4800</v>
      </c>
      <c r="P700" s="93">
        <f>(I700*K700)+N700</f>
        <v>6337.2</v>
      </c>
      <c r="Q700" s="112">
        <f>P700*G700</f>
        <v>6337.2</v>
      </c>
      <c r="R700" s="195"/>
      <c r="S700" s="195"/>
      <c r="T700" s="195"/>
      <c r="U700" s="195"/>
      <c r="V700" s="195"/>
      <c r="W700" s="195"/>
      <c r="X700" s="195"/>
      <c r="Y700" s="195"/>
      <c r="Z700" s="195"/>
      <c r="AA700" s="195"/>
      <c r="AB700" s="195"/>
      <c r="AC700" s="195"/>
      <c r="AD700" s="195"/>
      <c r="AE700" s="195"/>
      <c r="AF700" s="195"/>
      <c r="AG700" s="195"/>
      <c r="AH700" s="195"/>
      <c r="AI700" s="195"/>
      <c r="AJ700" s="195"/>
    </row>
    <row r="701" spans="1:36" s="30" customFormat="1">
      <c r="A701" s="55" t="str">
        <f>IF(F701&lt;&gt;"",1+MAX($A$2:A700),"")</f>
        <v/>
      </c>
      <c r="B701" s="234"/>
      <c r="C701" s="84"/>
      <c r="D701" s="57"/>
      <c r="E701" s="60"/>
      <c r="F701" s="124"/>
      <c r="G701" s="145"/>
      <c r="H701" s="58"/>
      <c r="I701" s="90"/>
      <c r="J701" s="91"/>
      <c r="K701" s="92"/>
      <c r="L701" s="93"/>
      <c r="M701" s="93"/>
      <c r="N701" s="93"/>
      <c r="O701" s="93"/>
      <c r="P701" s="93"/>
      <c r="Q701" s="112"/>
      <c r="R701" s="195"/>
      <c r="S701" s="195"/>
      <c r="T701" s="195"/>
      <c r="U701" s="195"/>
      <c r="V701" s="195"/>
      <c r="W701" s="195"/>
      <c r="X701" s="195"/>
      <c r="Y701" s="195"/>
      <c r="Z701" s="195"/>
      <c r="AA701" s="195"/>
      <c r="AB701" s="195"/>
      <c r="AC701" s="195"/>
      <c r="AD701" s="195"/>
      <c r="AE701" s="195"/>
      <c r="AF701" s="195"/>
      <c r="AG701" s="195"/>
      <c r="AH701" s="195"/>
      <c r="AI701" s="195"/>
      <c r="AJ701" s="195"/>
    </row>
    <row r="702" spans="1:36" s="30" customFormat="1">
      <c r="A702" s="55" t="str">
        <f>IF(F702&lt;&gt;"",1+MAX($A$2:A698),"")</f>
        <v/>
      </c>
      <c r="B702" s="234"/>
      <c r="C702" s="60"/>
      <c r="D702" s="209" t="s">
        <v>524</v>
      </c>
      <c r="E702" s="60"/>
      <c r="F702" s="60"/>
      <c r="G702" s="60"/>
      <c r="H702" s="58"/>
      <c r="I702" s="224"/>
      <c r="J702" s="225"/>
      <c r="K702" s="226"/>
      <c r="L702" s="93"/>
      <c r="M702" s="93"/>
      <c r="N702" s="93"/>
      <c r="O702" s="93"/>
      <c r="P702" s="93"/>
      <c r="Q702" s="111"/>
      <c r="R702" s="195"/>
      <c r="S702" s="195"/>
      <c r="T702" s="195"/>
      <c r="U702" s="195"/>
      <c r="V702" s="195"/>
      <c r="W702" s="195"/>
      <c r="X702" s="195"/>
      <c r="Y702" s="195"/>
      <c r="Z702" s="195"/>
      <c r="AA702" s="195"/>
      <c r="AB702" s="195"/>
      <c r="AC702" s="195"/>
      <c r="AD702" s="195"/>
      <c r="AE702" s="195"/>
      <c r="AF702" s="195"/>
      <c r="AG702" s="195"/>
      <c r="AH702" s="195"/>
      <c r="AI702" s="195"/>
      <c r="AJ702" s="195"/>
    </row>
    <row r="703" spans="1:36" s="30" customFormat="1">
      <c r="A703" s="55">
        <f>IF(F703&lt;&gt;"",1+MAX($A$2:A702),"")</f>
        <v>506</v>
      </c>
      <c r="B703" s="234"/>
      <c r="C703" s="84"/>
      <c r="D703" s="57" t="s">
        <v>525</v>
      </c>
      <c r="E703" s="60">
        <v>20</v>
      </c>
      <c r="F703" s="124">
        <v>0</v>
      </c>
      <c r="G703" s="64">
        <f t="shared" ref="G703:G708" si="861">(F703*E703)+E703</f>
        <v>20</v>
      </c>
      <c r="H703" s="58" t="s">
        <v>124</v>
      </c>
      <c r="I703" s="90">
        <v>0.7</v>
      </c>
      <c r="J703" s="91">
        <f t="shared" ref="J703:J708" si="862">+I703*G703</f>
        <v>14</v>
      </c>
      <c r="K703" s="92">
        <f>'LABOR SHEET'!C$6</f>
        <v>42.7</v>
      </c>
      <c r="L703" s="93">
        <f t="shared" ref="L703:L708" si="863">I703*K703</f>
        <v>29.89</v>
      </c>
      <c r="M703" s="93">
        <f t="shared" ref="M703:M708" si="864">K703*J703</f>
        <v>597.79999999999995</v>
      </c>
      <c r="N703" s="93">
        <v>24.1</v>
      </c>
      <c r="O703" s="93">
        <f t="shared" ref="O703:O708" si="865">N703*G703</f>
        <v>482</v>
      </c>
      <c r="P703" s="93">
        <f t="shared" ref="P703:P708" si="866">(I703*K703)+N703</f>
        <v>53.99</v>
      </c>
      <c r="Q703" s="112">
        <f t="shared" ref="Q703:Q708" si="867">P703*G703</f>
        <v>1079.8</v>
      </c>
      <c r="R703" s="195"/>
      <c r="S703" s="195"/>
      <c r="T703" s="195"/>
      <c r="U703" s="195"/>
      <c r="V703" s="195"/>
      <c r="W703" s="195"/>
      <c r="X703" s="195"/>
      <c r="Y703" s="195"/>
      <c r="Z703" s="195"/>
      <c r="AA703" s="195"/>
      <c r="AB703" s="195"/>
      <c r="AC703" s="195"/>
      <c r="AD703" s="195"/>
      <c r="AE703" s="195"/>
      <c r="AF703" s="195"/>
      <c r="AG703" s="195"/>
      <c r="AH703" s="195"/>
      <c r="AI703" s="195"/>
      <c r="AJ703" s="195"/>
    </row>
    <row r="704" spans="1:36" s="30" customFormat="1">
      <c r="A704" s="55">
        <f>IF(F704&lt;&gt;"",1+MAX($A$2:A703),"")</f>
        <v>507</v>
      </c>
      <c r="B704" s="234"/>
      <c r="C704" s="84"/>
      <c r="D704" s="57" t="s">
        <v>526</v>
      </c>
      <c r="E704" s="60">
        <v>269</v>
      </c>
      <c r="F704" s="124">
        <v>0</v>
      </c>
      <c r="G704" s="64">
        <f t="shared" si="861"/>
        <v>269</v>
      </c>
      <c r="H704" s="58" t="s">
        <v>124</v>
      </c>
      <c r="I704" s="90">
        <v>0.3</v>
      </c>
      <c r="J704" s="91">
        <f t="shared" si="862"/>
        <v>80.7</v>
      </c>
      <c r="K704" s="92">
        <f>'LABOR SHEET'!C$6</f>
        <v>42.7</v>
      </c>
      <c r="L704" s="93">
        <f t="shared" si="863"/>
        <v>12.81</v>
      </c>
      <c r="M704" s="93">
        <f t="shared" si="864"/>
        <v>3445.89</v>
      </c>
      <c r="N704" s="93">
        <v>26</v>
      </c>
      <c r="O704" s="93">
        <f t="shared" si="865"/>
        <v>6994</v>
      </c>
      <c r="P704" s="93">
        <f t="shared" si="866"/>
        <v>38.81</v>
      </c>
      <c r="Q704" s="112">
        <f t="shared" si="867"/>
        <v>10439.89</v>
      </c>
      <c r="R704" s="195"/>
      <c r="S704" s="195"/>
      <c r="T704" s="195"/>
      <c r="U704" s="195"/>
      <c r="V704" s="195"/>
      <c r="W704" s="195"/>
      <c r="X704" s="195"/>
      <c r="Y704" s="195"/>
      <c r="Z704" s="195"/>
      <c r="AA704" s="195"/>
      <c r="AB704" s="195"/>
      <c r="AC704" s="195"/>
      <c r="AD704" s="195"/>
      <c r="AE704" s="195"/>
      <c r="AF704" s="195"/>
      <c r="AG704" s="195"/>
      <c r="AH704" s="195"/>
      <c r="AI704" s="195"/>
      <c r="AJ704" s="195"/>
    </row>
    <row r="705" spans="1:36" s="30" customFormat="1">
      <c r="A705" s="55">
        <f>IF(F705&lt;&gt;"",1+MAX($A$2:A704),"")</f>
        <v>508</v>
      </c>
      <c r="B705" s="234"/>
      <c r="C705" s="84"/>
      <c r="D705" s="57" t="s">
        <v>527</v>
      </c>
      <c r="E705" s="60">
        <v>22</v>
      </c>
      <c r="F705" s="124">
        <v>0</v>
      </c>
      <c r="G705" s="64">
        <f t="shared" si="861"/>
        <v>22</v>
      </c>
      <c r="H705" s="58" t="s">
        <v>124</v>
      </c>
      <c r="I705" s="90">
        <v>0.35</v>
      </c>
      <c r="J705" s="91">
        <f t="shared" si="862"/>
        <v>7.7</v>
      </c>
      <c r="K705" s="92">
        <f>'LABOR SHEET'!C$6</f>
        <v>42.7</v>
      </c>
      <c r="L705" s="93">
        <f t="shared" si="863"/>
        <v>14.945</v>
      </c>
      <c r="M705" s="93">
        <f t="shared" si="864"/>
        <v>328.79</v>
      </c>
      <c r="N705" s="93">
        <v>32</v>
      </c>
      <c r="O705" s="93">
        <f t="shared" si="865"/>
        <v>704</v>
      </c>
      <c r="P705" s="93">
        <f t="shared" si="866"/>
        <v>46.945</v>
      </c>
      <c r="Q705" s="112">
        <f t="shared" si="867"/>
        <v>1032.79</v>
      </c>
      <c r="R705" s="195"/>
      <c r="S705" s="195"/>
      <c r="T705" s="195"/>
      <c r="U705" s="195"/>
      <c r="V705" s="195"/>
      <c r="W705" s="195"/>
      <c r="X705" s="195"/>
      <c r="Y705" s="195"/>
      <c r="Z705" s="195"/>
      <c r="AA705" s="195"/>
      <c r="AB705" s="195"/>
      <c r="AC705" s="195"/>
      <c r="AD705" s="195"/>
      <c r="AE705" s="195"/>
      <c r="AF705" s="195"/>
      <c r="AG705" s="195"/>
      <c r="AH705" s="195"/>
      <c r="AI705" s="195"/>
      <c r="AJ705" s="195"/>
    </row>
    <row r="706" spans="1:36" s="30" customFormat="1">
      <c r="A706" s="55">
        <f>IF(F706&lt;&gt;"",1+MAX($A$2:A705),"")</f>
        <v>509</v>
      </c>
      <c r="B706" s="234"/>
      <c r="C706" s="84"/>
      <c r="D706" s="57" t="s">
        <v>528</v>
      </c>
      <c r="E706" s="60">
        <v>48</v>
      </c>
      <c r="F706" s="124">
        <v>0</v>
      </c>
      <c r="G706" s="64">
        <f t="shared" si="861"/>
        <v>48</v>
      </c>
      <c r="H706" s="58" t="s">
        <v>124</v>
      </c>
      <c r="I706" s="90">
        <v>0.4</v>
      </c>
      <c r="J706" s="91">
        <f t="shared" si="862"/>
        <v>19.2</v>
      </c>
      <c r="K706" s="92">
        <f>'LABOR SHEET'!C$6</f>
        <v>42.7</v>
      </c>
      <c r="L706" s="93">
        <f t="shared" si="863"/>
        <v>17.079999999999998</v>
      </c>
      <c r="M706" s="93">
        <f t="shared" si="864"/>
        <v>819.84</v>
      </c>
      <c r="N706" s="93">
        <v>44</v>
      </c>
      <c r="O706" s="93">
        <f t="shared" si="865"/>
        <v>2112</v>
      </c>
      <c r="P706" s="93">
        <f t="shared" si="866"/>
        <v>61.08</v>
      </c>
      <c r="Q706" s="112">
        <f t="shared" si="867"/>
        <v>2931.84</v>
      </c>
      <c r="R706" s="195"/>
      <c r="S706" s="195"/>
      <c r="T706" s="195"/>
      <c r="U706" s="195"/>
      <c r="V706" s="195"/>
      <c r="W706" s="195"/>
      <c r="X706" s="195"/>
      <c r="Y706" s="195"/>
      <c r="Z706" s="195"/>
      <c r="AA706" s="195"/>
      <c r="AB706" s="195"/>
      <c r="AC706" s="195"/>
      <c r="AD706" s="195"/>
      <c r="AE706" s="195"/>
      <c r="AF706" s="195"/>
      <c r="AG706" s="195"/>
      <c r="AH706" s="195"/>
      <c r="AI706" s="195"/>
      <c r="AJ706" s="195"/>
    </row>
    <row r="707" spans="1:36" s="30" customFormat="1">
      <c r="A707" s="55">
        <f>IF(F707&lt;&gt;"",1+MAX($A$2:A706),"")</f>
        <v>510</v>
      </c>
      <c r="B707" s="234"/>
      <c r="C707" s="84"/>
      <c r="D707" s="57" t="s">
        <v>529</v>
      </c>
      <c r="E707" s="60">
        <v>3</v>
      </c>
      <c r="F707" s="124">
        <v>0</v>
      </c>
      <c r="G707" s="64">
        <f t="shared" si="861"/>
        <v>3</v>
      </c>
      <c r="H707" s="58" t="s">
        <v>124</v>
      </c>
      <c r="I707" s="90">
        <v>0.46</v>
      </c>
      <c r="J707" s="91">
        <f t="shared" si="862"/>
        <v>1.38</v>
      </c>
      <c r="K707" s="92">
        <f>'LABOR SHEET'!C$6</f>
        <v>42.7</v>
      </c>
      <c r="L707" s="93">
        <f t="shared" si="863"/>
        <v>19.641999999999999</v>
      </c>
      <c r="M707" s="93">
        <f t="shared" si="864"/>
        <v>58.926000000000002</v>
      </c>
      <c r="N707" s="93">
        <v>49</v>
      </c>
      <c r="O707" s="93">
        <f t="shared" si="865"/>
        <v>147</v>
      </c>
      <c r="P707" s="93">
        <f t="shared" si="866"/>
        <v>68.641999999999996</v>
      </c>
      <c r="Q707" s="112">
        <f t="shared" si="867"/>
        <v>205.92599999999999</v>
      </c>
      <c r="R707" s="195"/>
      <c r="S707" s="195"/>
      <c r="T707" s="195"/>
      <c r="U707" s="195"/>
      <c r="V707" s="195"/>
      <c r="W707" s="195"/>
      <c r="X707" s="195"/>
      <c r="Y707" s="195"/>
      <c r="Z707" s="195"/>
      <c r="AA707" s="195"/>
      <c r="AB707" s="195"/>
      <c r="AC707" s="195"/>
      <c r="AD707" s="195"/>
      <c r="AE707" s="195"/>
      <c r="AF707" s="195"/>
      <c r="AG707" s="195"/>
      <c r="AH707" s="195"/>
      <c r="AI707" s="195"/>
      <c r="AJ707" s="195"/>
    </row>
    <row r="708" spans="1:36" s="30" customFormat="1">
      <c r="A708" s="55">
        <f>IF(F708&lt;&gt;"",1+MAX($A$2:A707),"")</f>
        <v>511</v>
      </c>
      <c r="B708" s="234"/>
      <c r="C708" s="84"/>
      <c r="D708" s="57" t="s">
        <v>530</v>
      </c>
      <c r="E708" s="60">
        <v>6</v>
      </c>
      <c r="F708" s="124">
        <v>0</v>
      </c>
      <c r="G708" s="64">
        <f t="shared" si="861"/>
        <v>6</v>
      </c>
      <c r="H708" s="58" t="s">
        <v>124</v>
      </c>
      <c r="I708" s="90">
        <v>1.1000000000000001</v>
      </c>
      <c r="J708" s="91">
        <f t="shared" si="862"/>
        <v>6.6</v>
      </c>
      <c r="K708" s="92">
        <f>'LABOR SHEET'!C$6</f>
        <v>42.7</v>
      </c>
      <c r="L708" s="93">
        <f t="shared" si="863"/>
        <v>46.97</v>
      </c>
      <c r="M708" s="93">
        <f t="shared" si="864"/>
        <v>281.82</v>
      </c>
      <c r="N708" s="93">
        <v>77</v>
      </c>
      <c r="O708" s="93">
        <f t="shared" si="865"/>
        <v>462</v>
      </c>
      <c r="P708" s="93">
        <f t="shared" si="866"/>
        <v>123.97</v>
      </c>
      <c r="Q708" s="112">
        <f t="shared" si="867"/>
        <v>743.82</v>
      </c>
      <c r="R708" s="195"/>
      <c r="S708" s="195"/>
      <c r="T708" s="195"/>
      <c r="U708" s="195"/>
      <c r="V708" s="195"/>
      <c r="W708" s="195"/>
      <c r="X708" s="195"/>
      <c r="Y708" s="195"/>
      <c r="Z708" s="195"/>
      <c r="AA708" s="195"/>
      <c r="AB708" s="195"/>
      <c r="AC708" s="195"/>
      <c r="AD708" s="195"/>
      <c r="AE708" s="195"/>
      <c r="AF708" s="195"/>
      <c r="AG708" s="195"/>
      <c r="AH708" s="195"/>
      <c r="AI708" s="195"/>
      <c r="AJ708" s="195"/>
    </row>
    <row r="709" spans="1:36" s="30" customFormat="1">
      <c r="A709" s="55" t="str">
        <f>IF(F709&lt;&gt;"",1+MAX($A$2:A708),"")</f>
        <v/>
      </c>
      <c r="B709" s="234"/>
      <c r="C709" s="84"/>
      <c r="D709" s="57"/>
      <c r="E709" s="60"/>
      <c r="F709" s="124"/>
      <c r="G709" s="145"/>
      <c r="H709" s="58"/>
      <c r="I709" s="90"/>
      <c r="J709" s="91"/>
      <c r="K709" s="92"/>
      <c r="L709" s="93"/>
      <c r="M709" s="93"/>
      <c r="N709" s="93"/>
      <c r="O709" s="93"/>
      <c r="P709" s="93"/>
      <c r="Q709" s="112"/>
      <c r="R709" s="195"/>
      <c r="S709" s="195"/>
      <c r="T709" s="195"/>
      <c r="U709" s="195"/>
      <c r="V709" s="195"/>
      <c r="W709" s="195"/>
      <c r="X709" s="195"/>
      <c r="Y709" s="195"/>
      <c r="Z709" s="195"/>
      <c r="AA709" s="195"/>
      <c r="AB709" s="195"/>
      <c r="AC709" s="195"/>
      <c r="AD709" s="195"/>
      <c r="AE709" s="195"/>
      <c r="AF709" s="195"/>
      <c r="AG709" s="195"/>
      <c r="AH709" s="195"/>
      <c r="AI709" s="195"/>
      <c r="AJ709" s="195"/>
    </row>
    <row r="710" spans="1:36" s="30" customFormat="1">
      <c r="A710" s="55" t="str">
        <f>IF(F710&lt;&gt;"",1+MAX($A$2:A709),"")</f>
        <v/>
      </c>
      <c r="B710" s="234"/>
      <c r="C710" s="60"/>
      <c r="D710" s="209" t="s">
        <v>495</v>
      </c>
      <c r="E710" s="58"/>
      <c r="F710" s="58"/>
      <c r="G710" s="58"/>
      <c r="H710" s="58"/>
      <c r="I710" s="224"/>
      <c r="J710" s="225"/>
      <c r="K710" s="226"/>
      <c r="L710" s="93"/>
      <c r="M710" s="93"/>
      <c r="N710" s="93"/>
      <c r="O710" s="93"/>
      <c r="P710" s="93"/>
      <c r="Q710" s="111"/>
      <c r="R710" s="195"/>
      <c r="S710" s="195"/>
      <c r="T710" s="195"/>
      <c r="U710" s="195"/>
      <c r="V710" s="195"/>
      <c r="W710" s="195"/>
      <c r="X710" s="195"/>
      <c r="Y710" s="195"/>
      <c r="Z710" s="195"/>
      <c r="AA710" s="195"/>
      <c r="AB710" s="195"/>
      <c r="AC710" s="195"/>
      <c r="AD710" s="195"/>
      <c r="AE710" s="195"/>
      <c r="AF710" s="195"/>
      <c r="AG710" s="195"/>
      <c r="AH710" s="195"/>
      <c r="AI710" s="195"/>
      <c r="AJ710" s="195"/>
    </row>
    <row r="711" spans="1:36" s="30" customFormat="1">
      <c r="A711" s="55">
        <f>IF(F711&lt;&gt;"",1+MAX($A$2:A710),"")</f>
        <v>512</v>
      </c>
      <c r="B711" s="234"/>
      <c r="C711" s="84"/>
      <c r="D711" s="57" t="s">
        <v>531</v>
      </c>
      <c r="E711" s="60">
        <v>15555</v>
      </c>
      <c r="F711" s="124">
        <v>0.05</v>
      </c>
      <c r="G711" s="64">
        <f t="shared" ref="G711:G712" si="868">(F711*E711)+E711</f>
        <v>16332.75</v>
      </c>
      <c r="H711" s="58" t="s">
        <v>119</v>
      </c>
      <c r="I711" s="90">
        <v>6.7000000000000004E-2</v>
      </c>
      <c r="J711" s="91">
        <f t="shared" ref="J711:J712" si="869">+I711*G711</f>
        <v>1094.2942499999999</v>
      </c>
      <c r="K711" s="92">
        <f>'LABOR SHEET'!C$6</f>
        <v>42.7</v>
      </c>
      <c r="L711" s="93">
        <f t="shared" ref="L711:L712" si="870">I711*K711</f>
        <v>2.8609</v>
      </c>
      <c r="M711" s="93">
        <f t="shared" ref="M711:M712" si="871">K711*J711</f>
        <v>46726.364475000002</v>
      </c>
      <c r="N711" s="93">
        <v>1.1000000000000001</v>
      </c>
      <c r="O711" s="93">
        <f t="shared" ref="O711:O712" si="872">N711*G711</f>
        <v>17966.025000000001</v>
      </c>
      <c r="P711" s="93">
        <f t="shared" ref="P711:P712" si="873">(I711*K711)+N711</f>
        <v>3.9609000000000001</v>
      </c>
      <c r="Q711" s="112">
        <f t="shared" ref="Q711:Q712" si="874">P711*G711</f>
        <v>64692.389475000004</v>
      </c>
      <c r="R711" s="195"/>
      <c r="S711" s="195"/>
      <c r="T711" s="195"/>
      <c r="U711" s="195"/>
      <c r="V711" s="195"/>
      <c r="W711" s="195"/>
      <c r="X711" s="195"/>
      <c r="Y711" s="195"/>
      <c r="Z711" s="195"/>
      <c r="AA711" s="195"/>
      <c r="AB711" s="195"/>
      <c r="AC711" s="195"/>
      <c r="AD711" s="195"/>
      <c r="AE711" s="195"/>
      <c r="AF711" s="195"/>
      <c r="AG711" s="195"/>
      <c r="AH711" s="195"/>
      <c r="AI711" s="195"/>
      <c r="AJ711" s="195"/>
    </row>
    <row r="712" spans="1:36" s="30" customFormat="1">
      <c r="A712" s="55">
        <f>IF(F712&lt;&gt;"",1+MAX($A$2:A711),"")</f>
        <v>513</v>
      </c>
      <c r="B712" s="234"/>
      <c r="C712" s="84"/>
      <c r="D712" s="57" t="s">
        <v>532</v>
      </c>
      <c r="E712" s="60">
        <v>46665</v>
      </c>
      <c r="F712" s="124">
        <v>0.05</v>
      </c>
      <c r="G712" s="64">
        <f t="shared" si="868"/>
        <v>48998.25</v>
      </c>
      <c r="H712" s="58" t="s">
        <v>119</v>
      </c>
      <c r="I712" s="90">
        <v>1.4999999999999999E-2</v>
      </c>
      <c r="J712" s="91">
        <f t="shared" si="869"/>
        <v>734.97375</v>
      </c>
      <c r="K712" s="92">
        <f>'LABOR SHEET'!C$6</f>
        <v>42.7</v>
      </c>
      <c r="L712" s="93">
        <f t="shared" si="870"/>
        <v>0.64049999999999996</v>
      </c>
      <c r="M712" s="93">
        <f t="shared" si="871"/>
        <v>31383.379124999999</v>
      </c>
      <c r="N712" s="93">
        <v>0.3</v>
      </c>
      <c r="O712" s="93">
        <f t="shared" si="872"/>
        <v>14699.475</v>
      </c>
      <c r="P712" s="93">
        <f t="shared" si="873"/>
        <v>0.9405</v>
      </c>
      <c r="Q712" s="112">
        <f t="shared" si="874"/>
        <v>46082.854124999998</v>
      </c>
      <c r="R712" s="195"/>
      <c r="S712" s="195"/>
      <c r="T712" s="195"/>
      <c r="U712" s="195"/>
      <c r="V712" s="195"/>
      <c r="W712" s="195"/>
      <c r="X712" s="195"/>
      <c r="Y712" s="195"/>
      <c r="Z712" s="195"/>
      <c r="AA712" s="195"/>
      <c r="AB712" s="195"/>
      <c r="AC712" s="195"/>
      <c r="AD712" s="195"/>
      <c r="AE712" s="195"/>
      <c r="AF712" s="195"/>
      <c r="AG712" s="195"/>
      <c r="AH712" s="195"/>
      <c r="AI712" s="195"/>
      <c r="AJ712" s="195"/>
    </row>
    <row r="713" spans="1:36" s="30" customFormat="1">
      <c r="A713" s="56" t="str">
        <f>IF(F713&lt;&gt;"",1+MAX($A$2:A712),"")</f>
        <v/>
      </c>
      <c r="B713" s="234"/>
      <c r="C713" s="84"/>
      <c r="D713" s="57"/>
      <c r="E713" s="60"/>
      <c r="F713" s="124"/>
      <c r="G713" s="145"/>
      <c r="H713" s="237"/>
      <c r="I713" s="267"/>
      <c r="J713" s="268"/>
      <c r="K713" s="269"/>
      <c r="L713" s="270"/>
      <c r="M713" s="93"/>
      <c r="N713" s="93"/>
      <c r="O713" s="93"/>
      <c r="P713" s="93"/>
      <c r="Q713" s="112"/>
      <c r="R713" s="195"/>
      <c r="S713" s="195"/>
      <c r="T713" s="195"/>
      <c r="U713" s="195"/>
      <c r="V713" s="195"/>
      <c r="W713" s="195"/>
      <c r="X713" s="195"/>
      <c r="Y713" s="195"/>
      <c r="Z713" s="195"/>
      <c r="AA713" s="195"/>
      <c r="AB713" s="195"/>
      <c r="AC713" s="195"/>
      <c r="AD713" s="195"/>
      <c r="AE713" s="195"/>
      <c r="AF713" s="195"/>
      <c r="AG713" s="195"/>
      <c r="AH713" s="195"/>
      <c r="AI713" s="195"/>
      <c r="AJ713" s="195"/>
    </row>
    <row r="714" spans="1:36" s="30" customFormat="1">
      <c r="A714" s="55" t="str">
        <f>IF(F714&lt;&gt;"",1+MAX($A$2:A713),"")</f>
        <v/>
      </c>
      <c r="B714" s="207"/>
      <c r="C714" s="208"/>
      <c r="D714" s="67" t="s">
        <v>58</v>
      </c>
      <c r="E714" s="216"/>
      <c r="F714" s="216"/>
      <c r="G714" s="217"/>
      <c r="H714" s="216"/>
      <c r="I714" s="216"/>
      <c r="J714" s="130"/>
      <c r="K714" s="130"/>
      <c r="L714" s="131"/>
      <c r="M714" s="132"/>
      <c r="N714" s="131"/>
      <c r="O714" s="131"/>
      <c r="P714" s="228"/>
      <c r="Q714" s="106">
        <f>SUM(Q676:Q712)</f>
        <v>231548.45860000001</v>
      </c>
      <c r="S714" s="110"/>
    </row>
    <row r="715" spans="1:36" s="30" customFormat="1">
      <c r="A715" s="56"/>
      <c r="B715" s="234"/>
      <c r="C715" s="84"/>
      <c r="D715" s="57"/>
      <c r="E715" s="60"/>
      <c r="F715" s="124"/>
      <c r="G715" s="145"/>
      <c r="H715" s="238"/>
      <c r="I715" s="271"/>
      <c r="J715" s="229"/>
      <c r="K715" s="272"/>
      <c r="L715" s="273"/>
      <c r="M715" s="97"/>
      <c r="N715" s="97"/>
      <c r="O715" s="97"/>
      <c r="P715" s="93"/>
      <c r="Q715" s="112"/>
      <c r="R715" s="195"/>
      <c r="S715" s="195"/>
      <c r="T715" s="195"/>
      <c r="U715" s="195"/>
      <c r="V715" s="195"/>
      <c r="W715" s="195"/>
      <c r="X715" s="195"/>
      <c r="Y715" s="195"/>
      <c r="Z715" s="195"/>
      <c r="AA715" s="195"/>
      <c r="AB715" s="195"/>
      <c r="AC715" s="195"/>
      <c r="AD715" s="195"/>
      <c r="AE715" s="195"/>
      <c r="AF715" s="195"/>
      <c r="AG715" s="195"/>
      <c r="AH715" s="195"/>
      <c r="AI715" s="195"/>
      <c r="AJ715" s="195"/>
    </row>
    <row r="716" spans="1:36" s="31" customFormat="1" ht="31">
      <c r="A716" s="239"/>
      <c r="B716" s="239"/>
      <c r="C716" s="239"/>
      <c r="D716" s="239"/>
      <c r="E716" s="239"/>
      <c r="F716" s="239"/>
      <c r="G716" s="239"/>
      <c r="H716" s="336" t="s">
        <v>533</v>
      </c>
      <c r="I716" s="336"/>
      <c r="J716" s="274">
        <f>SUM(J17:J712)</f>
        <v>31429.2218857439</v>
      </c>
      <c r="K716" s="337" t="s">
        <v>44</v>
      </c>
      <c r="L716" s="337"/>
      <c r="M716" s="275">
        <f>SUM(M17:M712)</f>
        <v>1123273.3530620099</v>
      </c>
      <c r="N716" s="276" t="s">
        <v>46</v>
      </c>
      <c r="O716" s="277">
        <f>SUM(O17:O712)</f>
        <v>2460096.9292717702</v>
      </c>
      <c r="P716" s="239"/>
      <c r="Q716" s="284"/>
      <c r="S716" s="194"/>
    </row>
    <row r="717" spans="1:36" s="31" customFormat="1">
      <c r="A717" s="240"/>
      <c r="B717" s="241"/>
      <c r="C717" s="242"/>
      <c r="D717" s="243" t="s">
        <v>534</v>
      </c>
      <c r="E717" s="244"/>
      <c r="F717" s="244"/>
      <c r="G717" s="245"/>
      <c r="H717" s="244"/>
      <c r="I717" s="244"/>
      <c r="J717" s="244"/>
      <c r="K717" s="244"/>
      <c r="L717" s="278"/>
      <c r="M717" s="278"/>
      <c r="N717" s="278"/>
      <c r="O717" s="278"/>
      <c r="P717" s="278"/>
      <c r="Q717" s="285">
        <f>SUM(Q8:Q714)/2</f>
        <v>3868370.2823337801</v>
      </c>
      <c r="R717" s="286"/>
    </row>
    <row r="718" spans="1:36" s="31" customFormat="1">
      <c r="A718" s="240"/>
      <c r="B718" s="241"/>
      <c r="C718" s="246"/>
      <c r="D718" s="247" t="s">
        <v>535</v>
      </c>
      <c r="E718" s="248"/>
      <c r="F718" s="242"/>
      <c r="G718" s="248"/>
      <c r="H718" s="242"/>
      <c r="I718" s="242"/>
      <c r="J718" s="242"/>
      <c r="K718" s="242"/>
      <c r="L718" s="279">
        <v>0.05</v>
      </c>
      <c r="M718" s="279"/>
      <c r="N718" s="279"/>
      <c r="O718" s="279"/>
      <c r="P718" s="279"/>
      <c r="Q718" s="285">
        <f>Q717*L718</f>
        <v>193418.51411668901</v>
      </c>
      <c r="R718" s="286"/>
      <c r="S718" s="287"/>
      <c r="T718" s="287"/>
      <c r="U718" s="287"/>
      <c r="V718" s="287"/>
      <c r="W718" s="287"/>
      <c r="X718" s="287"/>
      <c r="Y718" s="287"/>
      <c r="Z718" s="287"/>
      <c r="AA718" s="287"/>
      <c r="AB718" s="287"/>
      <c r="AC718" s="287"/>
      <c r="AD718" s="287"/>
      <c r="AE718" s="287"/>
      <c r="AF718" s="287"/>
      <c r="AG718" s="287"/>
      <c r="AH718" s="287"/>
      <c r="AI718" s="287"/>
      <c r="AJ718" s="287"/>
    </row>
    <row r="719" spans="1:36" s="31" customFormat="1">
      <c r="A719" s="249"/>
      <c r="B719" s="250"/>
      <c r="C719" s="251"/>
      <c r="D719" s="252" t="s">
        <v>22</v>
      </c>
      <c r="E719" s="253"/>
      <c r="F719" s="254"/>
      <c r="G719" s="253"/>
      <c r="H719" s="254"/>
      <c r="I719" s="254"/>
      <c r="J719" s="254"/>
      <c r="K719" s="254"/>
      <c r="L719" s="280">
        <v>0.15</v>
      </c>
      <c r="M719" s="280"/>
      <c r="N719" s="280"/>
      <c r="O719" s="280"/>
      <c r="P719" s="280"/>
      <c r="Q719" s="288">
        <f>Q717*L719</f>
        <v>580255.54235006694</v>
      </c>
      <c r="R719" s="287"/>
      <c r="S719" s="287"/>
      <c r="T719" s="287"/>
      <c r="U719" s="287"/>
      <c r="V719" s="287"/>
      <c r="W719" s="287"/>
      <c r="X719" s="287"/>
      <c r="Y719" s="287"/>
      <c r="Z719" s="287"/>
      <c r="AA719" s="287"/>
      <c r="AB719" s="287"/>
      <c r="AC719" s="287"/>
      <c r="AD719" s="287"/>
      <c r="AE719" s="287"/>
      <c r="AF719" s="287"/>
      <c r="AG719" s="287"/>
      <c r="AH719" s="287"/>
      <c r="AI719" s="287"/>
      <c r="AJ719" s="287"/>
    </row>
    <row r="720" spans="1:36" s="31" customFormat="1">
      <c r="A720" s="255"/>
      <c r="B720" s="256"/>
      <c r="C720" s="257"/>
      <c r="D720" s="258" t="s">
        <v>23</v>
      </c>
      <c r="E720" s="259"/>
      <c r="F720" s="260"/>
      <c r="G720" s="259"/>
      <c r="H720" s="260"/>
      <c r="I720" s="260"/>
      <c r="J720" s="260"/>
      <c r="K720" s="260"/>
      <c r="L720" s="281">
        <v>7.0000000000000007E-2</v>
      </c>
      <c r="M720" s="282"/>
      <c r="N720" s="282"/>
      <c r="O720" s="282"/>
      <c r="P720" s="282"/>
      <c r="Q720" s="289">
        <f>O716*L720</f>
        <v>172206.78504902401</v>
      </c>
      <c r="R720" s="287"/>
      <c r="S720" s="287"/>
      <c r="T720" s="287"/>
      <c r="U720" s="287"/>
      <c r="V720" s="287"/>
      <c r="W720" s="287"/>
      <c r="X720" s="287"/>
      <c r="Y720" s="287"/>
      <c r="Z720" s="287"/>
      <c r="AA720" s="287"/>
      <c r="AB720" s="287"/>
      <c r="AC720" s="287"/>
      <c r="AD720" s="287"/>
      <c r="AE720" s="287"/>
      <c r="AF720" s="287"/>
      <c r="AG720" s="287"/>
      <c r="AH720" s="287"/>
      <c r="AI720" s="287"/>
      <c r="AJ720" s="287"/>
    </row>
    <row r="721" spans="1:36" s="31" customFormat="1">
      <c r="A721" s="255"/>
      <c r="B721" s="256"/>
      <c r="C721" s="257"/>
      <c r="D721" s="258" t="s">
        <v>24</v>
      </c>
      <c r="E721" s="259"/>
      <c r="F721" s="260"/>
      <c r="G721" s="259"/>
      <c r="H721" s="260"/>
      <c r="I721" s="260"/>
      <c r="J721" s="260"/>
      <c r="K721" s="260"/>
      <c r="L721" s="281">
        <v>1.4999999999999999E-2</v>
      </c>
      <c r="M721" s="281"/>
      <c r="N721" s="281"/>
      <c r="O721" s="281"/>
      <c r="P721" s="281"/>
      <c r="Q721" s="289">
        <f>Q717*L721</f>
        <v>58025.554235006697</v>
      </c>
      <c r="R721" s="287"/>
      <c r="S721" s="287"/>
      <c r="T721" s="287"/>
      <c r="U721" s="287"/>
      <c r="V721" s="287"/>
      <c r="W721" s="287"/>
      <c r="X721" s="287"/>
      <c r="Y721" s="287"/>
      <c r="Z721" s="287"/>
      <c r="AA721" s="287"/>
      <c r="AB721" s="287"/>
      <c r="AC721" s="287"/>
      <c r="AD721" s="287"/>
      <c r="AE721" s="287"/>
      <c r="AF721" s="287"/>
      <c r="AG721" s="287"/>
      <c r="AH721" s="287"/>
      <c r="AI721" s="287"/>
      <c r="AJ721" s="287"/>
    </row>
    <row r="722" spans="1:36" s="31" customFormat="1">
      <c r="A722" s="261"/>
      <c r="B722" s="262"/>
      <c r="C722" s="263"/>
      <c r="D722" s="264" t="s">
        <v>25</v>
      </c>
      <c r="E722" s="265"/>
      <c r="F722" s="265"/>
      <c r="G722" s="266"/>
      <c r="H722" s="265"/>
      <c r="I722" s="265"/>
      <c r="J722" s="265"/>
      <c r="K722" s="265"/>
      <c r="L722" s="283"/>
      <c r="M722" s="283"/>
      <c r="N722" s="283"/>
      <c r="O722" s="283"/>
      <c r="P722" s="283"/>
      <c r="Q722" s="290">
        <f>SUM(Q717:Q721)</f>
        <v>4872276.67808457</v>
      </c>
    </row>
  </sheetData>
  <mergeCells count="7">
    <mergeCell ref="A2:Q2"/>
    <mergeCell ref="B3:C3"/>
    <mergeCell ref="B4:C4"/>
    <mergeCell ref="B5:C5"/>
    <mergeCell ref="H716:I716"/>
    <mergeCell ref="K716:L716"/>
    <mergeCell ref="Q8:Q14"/>
  </mergeCells>
  <printOptions horizontalCentered="1"/>
  <pageMargins left="0.7" right="0.7" top="0.75" bottom="0.75" header="0.3" footer="0.3"/>
  <pageSetup paperSize="9" scale="36" fitToHeight="0" orientation="portrait"/>
  <headerFooter scaleWithDoc="0" alignWithMargins="0"/>
  <ignoredErrors>
    <ignoredError sqref="A702 N310 I310 I546:N546 K519 K529" formula="1"/>
  </ignoredError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H49"/>
  <sheetViews>
    <sheetView workbookViewId="0">
      <selection activeCell="C17" sqref="C17"/>
    </sheetView>
  </sheetViews>
  <sheetFormatPr defaultColWidth="9.08203125" defaultRowHeight="14.5"/>
  <cols>
    <col min="1" max="1" width="26.83203125" style="1" customWidth="1"/>
    <col min="2" max="2" width="19.58203125" style="2" customWidth="1"/>
    <col min="3" max="3" width="20.5" style="2" customWidth="1"/>
    <col min="4" max="16384" width="9.08203125" style="2"/>
  </cols>
  <sheetData>
    <row r="1" spans="1:3" ht="15.5">
      <c r="A1" s="3"/>
      <c r="B1" s="4" t="s">
        <v>536</v>
      </c>
      <c r="C1" s="5" t="s">
        <v>537</v>
      </c>
    </row>
    <row r="2" spans="1:3" ht="15.5">
      <c r="A2" s="6"/>
      <c r="B2" s="7"/>
      <c r="C2" s="8"/>
    </row>
    <row r="3" spans="1:3" ht="15.5">
      <c r="A3" s="9" t="s">
        <v>538</v>
      </c>
      <c r="B3" s="10" t="s">
        <v>539</v>
      </c>
      <c r="C3" s="11">
        <v>36</v>
      </c>
    </row>
    <row r="4" spans="1:3" ht="15.5">
      <c r="A4" s="9" t="s">
        <v>17</v>
      </c>
      <c r="B4" s="10" t="s">
        <v>540</v>
      </c>
      <c r="C4" s="11">
        <v>46.6</v>
      </c>
    </row>
    <row r="5" spans="1:3" ht="15.5">
      <c r="A5" s="9" t="s">
        <v>541</v>
      </c>
      <c r="B5" s="10" t="s">
        <v>542</v>
      </c>
      <c r="C5" s="11">
        <v>46.6</v>
      </c>
    </row>
    <row r="6" spans="1:3" ht="15.5">
      <c r="A6" s="9" t="s">
        <v>19</v>
      </c>
      <c r="B6" s="10" t="s">
        <v>543</v>
      </c>
      <c r="C6" s="11">
        <v>42.7</v>
      </c>
    </row>
    <row r="7" spans="1:3" ht="15.5">
      <c r="A7" s="9" t="s">
        <v>544</v>
      </c>
      <c r="B7" s="10" t="s">
        <v>545</v>
      </c>
      <c r="C7" s="11">
        <v>28</v>
      </c>
    </row>
    <row r="8" spans="1:3" ht="15.5">
      <c r="A8" s="9" t="s">
        <v>546</v>
      </c>
      <c r="B8" s="10" t="s">
        <v>546</v>
      </c>
      <c r="C8" s="11">
        <v>36</v>
      </c>
    </row>
    <row r="9" spans="1:3" ht="15.5">
      <c r="A9" s="9" t="s">
        <v>547</v>
      </c>
      <c r="B9" s="10" t="s">
        <v>547</v>
      </c>
      <c r="C9" s="11">
        <v>30</v>
      </c>
    </row>
    <row r="10" spans="1:3" ht="15.5">
      <c r="A10" s="9" t="s">
        <v>548</v>
      </c>
      <c r="B10" s="10" t="s">
        <v>549</v>
      </c>
      <c r="C10" s="11">
        <v>26.5</v>
      </c>
    </row>
    <row r="11" spans="1:3" ht="15.5">
      <c r="A11" s="9" t="s">
        <v>550</v>
      </c>
      <c r="B11" s="10" t="s">
        <v>551</v>
      </c>
      <c r="C11" s="11">
        <v>29</v>
      </c>
    </row>
    <row r="12" spans="1:3" ht="15.5">
      <c r="A12" s="9" t="s">
        <v>552</v>
      </c>
      <c r="B12" s="10" t="s">
        <v>553</v>
      </c>
      <c r="C12" s="11">
        <v>28</v>
      </c>
    </row>
    <row r="13" spans="1:3" ht="15.5">
      <c r="A13" s="9" t="s">
        <v>7</v>
      </c>
      <c r="B13" s="10" t="s">
        <v>554</v>
      </c>
      <c r="C13" s="11">
        <v>28</v>
      </c>
    </row>
    <row r="14" spans="1:3" ht="15.5">
      <c r="A14" s="9" t="s">
        <v>555</v>
      </c>
      <c r="B14" s="10" t="s">
        <v>556</v>
      </c>
      <c r="C14" s="11">
        <v>47</v>
      </c>
    </row>
    <row r="15" spans="1:3" ht="15.5">
      <c r="A15" s="9" t="s">
        <v>557</v>
      </c>
      <c r="B15" s="10" t="s">
        <v>558</v>
      </c>
      <c r="C15" s="11">
        <v>34.5</v>
      </c>
    </row>
    <row r="16" spans="1:3" ht="15.5">
      <c r="A16" s="9" t="s">
        <v>559</v>
      </c>
      <c r="B16" s="10" t="s">
        <v>560</v>
      </c>
      <c r="C16" s="11">
        <v>20</v>
      </c>
    </row>
    <row r="17" spans="1:3" ht="15.5">
      <c r="A17" s="12"/>
      <c r="B17" s="13"/>
      <c r="C17" s="14"/>
    </row>
    <row r="18" spans="1:3">
      <c r="A18" s="3"/>
      <c r="B18" s="3"/>
      <c r="C18" s="3"/>
    </row>
    <row r="19" spans="1:3">
      <c r="A19" s="3"/>
      <c r="B19" s="3"/>
      <c r="C19" s="3"/>
    </row>
    <row r="20" spans="1:3" ht="15.5">
      <c r="A20" s="3"/>
      <c r="B20" s="341" t="s">
        <v>37</v>
      </c>
      <c r="C20" s="342"/>
    </row>
    <row r="21" spans="1:3" ht="15.5">
      <c r="A21" s="15" t="s">
        <v>561</v>
      </c>
      <c r="B21" s="16" t="s">
        <v>124</v>
      </c>
      <c r="C21" s="17">
        <v>0</v>
      </c>
    </row>
    <row r="22" spans="1:3" ht="15.5">
      <c r="A22" s="18" t="s">
        <v>562</v>
      </c>
      <c r="B22" s="19" t="s">
        <v>119</v>
      </c>
      <c r="C22" s="20">
        <v>0.05</v>
      </c>
    </row>
    <row r="23" spans="1:3" ht="15.5">
      <c r="A23" s="18" t="s">
        <v>563</v>
      </c>
      <c r="B23" s="19" t="s">
        <v>67</v>
      </c>
      <c r="C23" s="20">
        <v>0.1</v>
      </c>
    </row>
    <row r="24" spans="1:3" ht="15.5">
      <c r="A24" s="18" t="s">
        <v>564</v>
      </c>
      <c r="B24" s="19" t="s">
        <v>565</v>
      </c>
      <c r="C24" s="20">
        <v>0.1</v>
      </c>
    </row>
    <row r="25" spans="1:3" ht="15.5">
      <c r="A25" s="18" t="s">
        <v>566</v>
      </c>
      <c r="B25" s="19" t="s">
        <v>63</v>
      </c>
      <c r="C25" s="20">
        <v>0.1</v>
      </c>
    </row>
    <row r="26" spans="1:3" ht="15.5">
      <c r="A26" s="18" t="s">
        <v>567</v>
      </c>
      <c r="B26" s="19" t="s">
        <v>51</v>
      </c>
      <c r="C26" s="20">
        <v>0</v>
      </c>
    </row>
    <row r="27" spans="1:3" ht="15.5">
      <c r="A27" s="18" t="s">
        <v>568</v>
      </c>
      <c r="B27" s="19" t="s">
        <v>569</v>
      </c>
      <c r="C27" s="20">
        <v>0</v>
      </c>
    </row>
    <row r="28" spans="1:3" ht="15.5">
      <c r="A28" s="18" t="s">
        <v>570</v>
      </c>
      <c r="B28" s="19" t="s">
        <v>571</v>
      </c>
      <c r="C28" s="20">
        <v>0</v>
      </c>
    </row>
    <row r="29" spans="1:3" ht="15.5">
      <c r="A29" s="18" t="s">
        <v>572</v>
      </c>
      <c r="B29" s="19" t="s">
        <v>573</v>
      </c>
      <c r="C29" s="20">
        <v>0</v>
      </c>
    </row>
    <row r="30" spans="1:3" ht="15.5">
      <c r="A30" s="18" t="s">
        <v>574</v>
      </c>
      <c r="B30" s="19" t="s">
        <v>575</v>
      </c>
      <c r="C30" s="20">
        <v>0</v>
      </c>
    </row>
    <row r="31" spans="1:3" ht="15.5">
      <c r="A31" s="18" t="s">
        <v>576</v>
      </c>
      <c r="B31" s="19" t="s">
        <v>577</v>
      </c>
      <c r="C31" s="20">
        <v>0.1</v>
      </c>
    </row>
    <row r="32" spans="1:3" ht="15.5">
      <c r="A32" s="18" t="s">
        <v>578</v>
      </c>
      <c r="B32" s="19" t="s">
        <v>65</v>
      </c>
      <c r="C32" s="20">
        <v>0.1</v>
      </c>
    </row>
    <row r="33" spans="1:8" ht="15.5">
      <c r="A33" s="18" t="s">
        <v>579</v>
      </c>
      <c r="B33" s="19" t="s">
        <v>580</v>
      </c>
      <c r="C33" s="20">
        <v>0</v>
      </c>
    </row>
    <row r="34" spans="1:8" ht="15.5">
      <c r="A34" s="18" t="s">
        <v>581</v>
      </c>
      <c r="B34" s="19" t="s">
        <v>582</v>
      </c>
      <c r="C34" s="20">
        <v>0</v>
      </c>
    </row>
    <row r="35" spans="1:8" ht="15.5">
      <c r="A35" s="18" t="s">
        <v>583</v>
      </c>
      <c r="B35" s="19" t="s">
        <v>583</v>
      </c>
      <c r="C35" s="20">
        <v>0.1</v>
      </c>
    </row>
    <row r="36" spans="1:8" ht="15.5">
      <c r="A36" s="18" t="s">
        <v>584</v>
      </c>
      <c r="B36" s="19" t="s">
        <v>585</v>
      </c>
      <c r="C36" s="20">
        <v>0</v>
      </c>
    </row>
    <row r="37" spans="1:8" ht="15.5">
      <c r="A37" s="18" t="s">
        <v>586</v>
      </c>
      <c r="B37" s="19" t="s">
        <v>587</v>
      </c>
      <c r="C37" s="20">
        <v>0</v>
      </c>
    </row>
    <row r="38" spans="1:8" ht="15.5">
      <c r="A38" s="18" t="s">
        <v>588</v>
      </c>
      <c r="B38" s="19" t="s">
        <v>589</v>
      </c>
      <c r="C38" s="20">
        <v>0</v>
      </c>
    </row>
    <row r="39" spans="1:8" ht="15.5">
      <c r="A39" s="18" t="s">
        <v>579</v>
      </c>
      <c r="B39" s="19" t="s">
        <v>590</v>
      </c>
      <c r="C39" s="20">
        <v>0</v>
      </c>
    </row>
    <row r="40" spans="1:8" ht="15.5">
      <c r="A40" s="18" t="s">
        <v>591</v>
      </c>
      <c r="B40" s="19" t="s">
        <v>592</v>
      </c>
      <c r="C40" s="20">
        <v>0</v>
      </c>
    </row>
    <row r="41" spans="1:8" ht="15.5">
      <c r="A41" s="18" t="s">
        <v>593</v>
      </c>
      <c r="B41" s="19" t="s">
        <v>594</v>
      </c>
      <c r="C41" s="20">
        <v>0</v>
      </c>
    </row>
    <row r="42" spans="1:8" ht="15.5">
      <c r="A42" s="18" t="s">
        <v>595</v>
      </c>
      <c r="B42" s="19" t="s">
        <v>596</v>
      </c>
      <c r="C42" s="20">
        <v>0.1</v>
      </c>
    </row>
    <row r="43" spans="1:8" ht="15.5">
      <c r="A43" s="21" t="s">
        <v>597</v>
      </c>
      <c r="B43" s="22" t="s">
        <v>597</v>
      </c>
      <c r="C43" s="23">
        <v>0</v>
      </c>
    </row>
    <row r="46" spans="1:8">
      <c r="A46" s="24" t="s">
        <v>598</v>
      </c>
      <c r="B46" s="25"/>
      <c r="C46" s="25"/>
      <c r="D46" s="25"/>
      <c r="E46" s="25"/>
      <c r="F46" s="25"/>
      <c r="G46" s="25"/>
      <c r="H46" s="25"/>
    </row>
    <row r="47" spans="1:8">
      <c r="A47" s="25" t="s">
        <v>599</v>
      </c>
      <c r="B47" s="25"/>
      <c r="C47" s="25"/>
      <c r="D47" s="25"/>
      <c r="E47" s="25"/>
      <c r="F47" s="25"/>
      <c r="G47" s="25"/>
      <c r="H47" s="25"/>
    </row>
    <row r="48" spans="1:8">
      <c r="A48" s="25" t="s">
        <v>600</v>
      </c>
      <c r="B48" s="25"/>
      <c r="C48" s="25"/>
      <c r="D48" s="25"/>
      <c r="E48" s="25"/>
      <c r="F48" s="25"/>
      <c r="G48" s="25"/>
      <c r="H48" s="25"/>
    </row>
    <row r="49" spans="1:8">
      <c r="A49" s="25" t="s">
        <v>601</v>
      </c>
      <c r="B49" s="25"/>
      <c r="C49" s="25"/>
      <c r="D49" s="25"/>
      <c r="E49" s="25"/>
      <c r="F49" s="25"/>
      <c r="G49" s="25"/>
      <c r="H49" s="25"/>
    </row>
  </sheetData>
  <mergeCells count="1">
    <mergeCell ref="B20:C20"/>
  </mergeCells>
  <pageMargins left="0.7" right="0.7" top="0.75" bottom="0.75" header="0.3" footer="0.3"/>
  <pageSetup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S w i f t T o k e n s   x m l n s : x s d = " h t t p : / / w w w . w 3 . o r g / 2 0 0 1 / X M L S c h e m a "   x m l n s : x s i = " h t t p : / / w w w . w 3 . o r g / 2 0 0 1 / X M L S c h e m a - i n s t a n c e " > < T o k e n s / > < / S w i f t T o k e n s > 
</file>

<file path=customXml/itemProps1.xml><?xml version="1.0" encoding="utf-8"?>
<ds:datastoreItem xmlns:ds="http://schemas.openxmlformats.org/officeDocument/2006/customXml" ds:itemID="{F47021E2-8793-411E-B075-318530D433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General Summary</vt:lpstr>
      <vt:lpstr>Estimate</vt:lpstr>
      <vt:lpstr>LABOR SHEET</vt:lpstr>
      <vt:lpstr>Estimate!Print_Area</vt:lpstr>
      <vt:lpstr>'General Summary'!Print_Area</vt:lpstr>
      <vt:lpstr>Estimate!Print_Titles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Mfbzone</dc:creator>
  <cp:lastModifiedBy>CH Shahzaib</cp:lastModifiedBy>
  <cp:lastPrinted>2023-01-11T20:23:00Z</cp:lastPrinted>
  <dcterms:created xsi:type="dcterms:W3CDTF">2016-03-30T11:57:00Z</dcterms:created>
  <dcterms:modified xsi:type="dcterms:W3CDTF">2026-01-27T21:46:19Z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S9Connected">
    <vt:bool>true</vt:bool>
  </property>
  <property fmtid="{D5CDD505-2E9C-101B-9397-08002B2CF9AE}" pid="3" name="PlanSwiftJobName">
    <vt:lpwstr/>
  </property>
  <property fmtid="{D5CDD505-2E9C-101B-9397-08002B2CF9AE}" pid="4" name="PlanSwiftJobGuid">
    <vt:lpwstr/>
  </property>
  <property fmtid="{D5CDD505-2E9C-101B-9397-08002B2CF9AE}" pid="5" name="LinkedDataId">
    <vt:lpwstr>{F47021E2-8793-411E-B075-318530D4334E}</vt:lpwstr>
  </property>
  <property fmtid="{D5CDD505-2E9C-101B-9397-08002B2CF9AE}" pid="6" name="ICV">
    <vt:lpwstr>EC1FCEACD50048F7BE22E171269F4281_12</vt:lpwstr>
  </property>
  <property fmtid="{D5CDD505-2E9C-101B-9397-08002B2CF9AE}" pid="7" name="KSOProductBuildVer">
    <vt:lpwstr>1033-12.2.0.23131</vt:lpwstr>
  </property>
</Properties>
</file>