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City\Downloads\"/>
    </mc:Choice>
  </mc:AlternateContent>
  <xr:revisionPtr revIDLastSave="0" documentId="13_ncr:1_{D601EA55-DB6D-42C2-8699-37104BE79A1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General Summary" sheetId="4" r:id="rId1"/>
    <sheet name="Takeoff Breakdown" sheetId="1" r:id="rId2"/>
    <sheet name="LABOR SHEET" sheetId="6" r:id="rId3"/>
  </sheets>
  <definedNames>
    <definedName name="_xlnm._FilterDatabase" localSheetId="1" hidden="1">'Takeoff Breakdown'!$A$74:$AJ$534</definedName>
    <definedName name="_xlnm.Print_Area" localSheetId="0">'General Summary'!$A$1:$N$22</definedName>
    <definedName name="_xlnm.Print_Area" localSheetId="1">'Takeoff Breakdown'!$A$2:$Q$534</definedName>
    <definedName name="_xlnm.Print_Titles" localSheetId="1">'Takeoff Breakdown'!$1:$6</definedName>
  </definedNames>
  <calcPr calcId="181029"/>
</workbook>
</file>

<file path=xl/calcChain.xml><?xml version="1.0" encoding="utf-8"?>
<calcChain xmlns="http://schemas.openxmlformats.org/spreadsheetml/2006/main">
  <c r="Q534" i="1" l="1"/>
  <c r="Q533" i="1"/>
  <c r="Q532" i="1"/>
  <c r="Q531" i="1"/>
  <c r="Q530" i="1"/>
  <c r="Q529" i="1"/>
  <c r="O528" i="1"/>
  <c r="M528" i="1"/>
  <c r="J528" i="1"/>
  <c r="A527" i="1"/>
  <c r="Q526" i="1"/>
  <c r="A526" i="1"/>
  <c r="A525" i="1"/>
  <c r="Q524" i="1"/>
  <c r="P524" i="1"/>
  <c r="O524" i="1"/>
  <c r="M524" i="1"/>
  <c r="L524" i="1"/>
  <c r="K524" i="1"/>
  <c r="J524" i="1"/>
  <c r="G524" i="1"/>
  <c r="E524" i="1"/>
  <c r="A524" i="1"/>
  <c r="Q523" i="1"/>
  <c r="P523" i="1"/>
  <c r="O523" i="1"/>
  <c r="M523" i="1"/>
  <c r="L523" i="1"/>
  <c r="K523" i="1"/>
  <c r="J523" i="1"/>
  <c r="G523" i="1"/>
  <c r="E523" i="1"/>
  <c r="A523" i="1"/>
  <c r="A522" i="1"/>
  <c r="A521" i="1"/>
  <c r="Q520" i="1"/>
  <c r="P520" i="1"/>
  <c r="O520" i="1"/>
  <c r="M520" i="1"/>
  <c r="L520" i="1"/>
  <c r="K520" i="1"/>
  <c r="J520" i="1"/>
  <c r="G520" i="1"/>
  <c r="A520" i="1"/>
  <c r="Q519" i="1"/>
  <c r="P519" i="1"/>
  <c r="O519" i="1"/>
  <c r="M519" i="1"/>
  <c r="L519" i="1"/>
  <c r="K519" i="1"/>
  <c r="J519" i="1"/>
  <c r="G519" i="1"/>
  <c r="A519" i="1"/>
  <c r="Q518" i="1"/>
  <c r="P518" i="1"/>
  <c r="O518" i="1"/>
  <c r="M518" i="1"/>
  <c r="L518" i="1"/>
  <c r="K518" i="1"/>
  <c r="J518" i="1"/>
  <c r="G518" i="1"/>
  <c r="A518" i="1"/>
  <c r="Q517" i="1"/>
  <c r="P517" i="1"/>
  <c r="O517" i="1"/>
  <c r="M517" i="1"/>
  <c r="L517" i="1"/>
  <c r="K517" i="1"/>
  <c r="J517" i="1"/>
  <c r="G517" i="1"/>
  <c r="A517" i="1"/>
  <c r="Q516" i="1"/>
  <c r="P516" i="1"/>
  <c r="O516" i="1"/>
  <c r="M516" i="1"/>
  <c r="L516" i="1"/>
  <c r="K516" i="1"/>
  <c r="J516" i="1"/>
  <c r="G516" i="1"/>
  <c r="A516" i="1"/>
  <c r="Q515" i="1"/>
  <c r="P515" i="1"/>
  <c r="O515" i="1"/>
  <c r="M515" i="1"/>
  <c r="L515" i="1"/>
  <c r="K515" i="1"/>
  <c r="J515" i="1"/>
  <c r="G515" i="1"/>
  <c r="A515" i="1"/>
  <c r="A514" i="1"/>
  <c r="A513" i="1"/>
  <c r="Q512" i="1"/>
  <c r="P512" i="1"/>
  <c r="O512" i="1"/>
  <c r="N512" i="1"/>
  <c r="M512" i="1"/>
  <c r="L512" i="1"/>
  <c r="K512" i="1"/>
  <c r="J512" i="1"/>
  <c r="G512" i="1"/>
  <c r="A512" i="1"/>
  <c r="Q511" i="1"/>
  <c r="P511" i="1"/>
  <c r="O511" i="1"/>
  <c r="M511" i="1"/>
  <c r="L511" i="1"/>
  <c r="K511" i="1"/>
  <c r="J511" i="1"/>
  <c r="G511" i="1"/>
  <c r="A511" i="1"/>
  <c r="Q510" i="1"/>
  <c r="P510" i="1"/>
  <c r="O510" i="1"/>
  <c r="M510" i="1"/>
  <c r="L510" i="1"/>
  <c r="K510" i="1"/>
  <c r="J510" i="1"/>
  <c r="G510" i="1"/>
  <c r="A510" i="1"/>
  <c r="Q509" i="1"/>
  <c r="P509" i="1"/>
  <c r="O509" i="1"/>
  <c r="M509" i="1"/>
  <c r="L509" i="1"/>
  <c r="K509" i="1"/>
  <c r="J509" i="1"/>
  <c r="G509" i="1"/>
  <c r="A509" i="1"/>
  <c r="Q508" i="1"/>
  <c r="P508" i="1"/>
  <c r="O508" i="1"/>
  <c r="M508" i="1"/>
  <c r="L508" i="1"/>
  <c r="K508" i="1"/>
  <c r="J508" i="1"/>
  <c r="G508" i="1"/>
  <c r="A508" i="1"/>
  <c r="Q507" i="1"/>
  <c r="P507" i="1"/>
  <c r="O507" i="1"/>
  <c r="M507" i="1"/>
  <c r="L507" i="1"/>
  <c r="K507" i="1"/>
  <c r="J507" i="1"/>
  <c r="G507" i="1"/>
  <c r="A507" i="1"/>
  <c r="Q506" i="1"/>
  <c r="P506" i="1"/>
  <c r="O506" i="1"/>
  <c r="M506" i="1"/>
  <c r="L506" i="1"/>
  <c r="K506" i="1"/>
  <c r="J506" i="1"/>
  <c r="G506" i="1"/>
  <c r="A506" i="1"/>
  <c r="A505" i="1"/>
  <c r="A504" i="1"/>
  <c r="Q503" i="1"/>
  <c r="P503" i="1"/>
  <c r="O503" i="1"/>
  <c r="M503" i="1"/>
  <c r="L503" i="1"/>
  <c r="K503" i="1"/>
  <c r="J503" i="1"/>
  <c r="G503" i="1"/>
  <c r="A503" i="1"/>
  <c r="Q502" i="1"/>
  <c r="P502" i="1"/>
  <c r="O502" i="1"/>
  <c r="M502" i="1"/>
  <c r="L502" i="1"/>
  <c r="K502" i="1"/>
  <c r="J502" i="1"/>
  <c r="G502" i="1"/>
  <c r="A502" i="1"/>
  <c r="Q501" i="1"/>
  <c r="P501" i="1"/>
  <c r="O501" i="1"/>
  <c r="M501" i="1"/>
  <c r="L501" i="1"/>
  <c r="K501" i="1"/>
  <c r="J501" i="1"/>
  <c r="G501" i="1"/>
  <c r="A501" i="1"/>
  <c r="Q500" i="1"/>
  <c r="P500" i="1"/>
  <c r="O500" i="1"/>
  <c r="M500" i="1"/>
  <c r="L500" i="1"/>
  <c r="K500" i="1"/>
  <c r="J500" i="1"/>
  <c r="G500" i="1"/>
  <c r="A500" i="1"/>
  <c r="Q499" i="1"/>
  <c r="P499" i="1"/>
  <c r="O499" i="1"/>
  <c r="M499" i="1"/>
  <c r="L499" i="1"/>
  <c r="K499" i="1"/>
  <c r="J499" i="1"/>
  <c r="G499" i="1"/>
  <c r="A499" i="1"/>
  <c r="Q498" i="1"/>
  <c r="P498" i="1"/>
  <c r="O498" i="1"/>
  <c r="M498" i="1"/>
  <c r="L498" i="1"/>
  <c r="K498" i="1"/>
  <c r="J498" i="1"/>
  <c r="G498" i="1"/>
  <c r="A498" i="1"/>
  <c r="Q497" i="1"/>
  <c r="P497" i="1"/>
  <c r="O497" i="1"/>
  <c r="M497" i="1"/>
  <c r="L497" i="1"/>
  <c r="K497" i="1"/>
  <c r="J497" i="1"/>
  <c r="G497" i="1"/>
  <c r="A497" i="1"/>
  <c r="Q496" i="1"/>
  <c r="P496" i="1"/>
  <c r="O496" i="1"/>
  <c r="M496" i="1"/>
  <c r="L496" i="1"/>
  <c r="K496" i="1"/>
  <c r="J496" i="1"/>
  <c r="G496" i="1"/>
  <c r="A496" i="1"/>
  <c r="Q495" i="1"/>
  <c r="P495" i="1"/>
  <c r="O495" i="1"/>
  <c r="M495" i="1"/>
  <c r="L495" i="1"/>
  <c r="K495" i="1"/>
  <c r="J495" i="1"/>
  <c r="G495" i="1"/>
  <c r="A495" i="1"/>
  <c r="Q494" i="1"/>
  <c r="P494" i="1"/>
  <c r="O494" i="1"/>
  <c r="M494" i="1"/>
  <c r="L494" i="1"/>
  <c r="K494" i="1"/>
  <c r="J494" i="1"/>
  <c r="G494" i="1"/>
  <c r="A494" i="1"/>
  <c r="Q493" i="1"/>
  <c r="P493" i="1"/>
  <c r="O493" i="1"/>
  <c r="M493" i="1"/>
  <c r="L493" i="1"/>
  <c r="K493" i="1"/>
  <c r="J493" i="1"/>
  <c r="G493" i="1"/>
  <c r="A493" i="1"/>
  <c r="Q492" i="1"/>
  <c r="P492" i="1"/>
  <c r="O492" i="1"/>
  <c r="M492" i="1"/>
  <c r="L492" i="1"/>
  <c r="K492" i="1"/>
  <c r="J492" i="1"/>
  <c r="G492" i="1"/>
  <c r="A492" i="1"/>
  <c r="Q491" i="1"/>
  <c r="P491" i="1"/>
  <c r="O491" i="1"/>
  <c r="M491" i="1"/>
  <c r="L491" i="1"/>
  <c r="K491" i="1"/>
  <c r="J491" i="1"/>
  <c r="G491" i="1"/>
  <c r="A491" i="1"/>
  <c r="Q490" i="1"/>
  <c r="P490" i="1"/>
  <c r="O490" i="1"/>
  <c r="M490" i="1"/>
  <c r="L490" i="1"/>
  <c r="K490" i="1"/>
  <c r="J490" i="1"/>
  <c r="G490" i="1"/>
  <c r="A490" i="1"/>
  <c r="Q489" i="1"/>
  <c r="P489" i="1"/>
  <c r="O489" i="1"/>
  <c r="M489" i="1"/>
  <c r="L489" i="1"/>
  <c r="K489" i="1"/>
  <c r="J489" i="1"/>
  <c r="G489" i="1"/>
  <c r="A489" i="1"/>
  <c r="Q488" i="1"/>
  <c r="P488" i="1"/>
  <c r="O488" i="1"/>
  <c r="M488" i="1"/>
  <c r="L488" i="1"/>
  <c r="K488" i="1"/>
  <c r="J488" i="1"/>
  <c r="G488" i="1"/>
  <c r="A488" i="1"/>
  <c r="Q487" i="1"/>
  <c r="P487" i="1"/>
  <c r="O487" i="1"/>
  <c r="M487" i="1"/>
  <c r="L487" i="1"/>
  <c r="K487" i="1"/>
  <c r="J487" i="1"/>
  <c r="G487" i="1"/>
  <c r="A487" i="1"/>
  <c r="Q486" i="1"/>
  <c r="P486" i="1"/>
  <c r="O486" i="1"/>
  <c r="M486" i="1"/>
  <c r="L486" i="1"/>
  <c r="K486" i="1"/>
  <c r="J486" i="1"/>
  <c r="G486" i="1"/>
  <c r="A486" i="1"/>
  <c r="Q485" i="1"/>
  <c r="P485" i="1"/>
  <c r="O485" i="1"/>
  <c r="M485" i="1"/>
  <c r="L485" i="1"/>
  <c r="K485" i="1"/>
  <c r="J485" i="1"/>
  <c r="G485" i="1"/>
  <c r="A485" i="1"/>
  <c r="Q484" i="1"/>
  <c r="P484" i="1"/>
  <c r="O484" i="1"/>
  <c r="M484" i="1"/>
  <c r="L484" i="1"/>
  <c r="K484" i="1"/>
  <c r="J484" i="1"/>
  <c r="G484" i="1"/>
  <c r="A484" i="1"/>
  <c r="Q483" i="1"/>
  <c r="P483" i="1"/>
  <c r="O483" i="1"/>
  <c r="M483" i="1"/>
  <c r="L483" i="1"/>
  <c r="K483" i="1"/>
  <c r="J483" i="1"/>
  <c r="G483" i="1"/>
  <c r="A483" i="1"/>
  <c r="A482" i="1"/>
  <c r="A481" i="1"/>
  <c r="Q480" i="1"/>
  <c r="P480" i="1"/>
  <c r="O480" i="1"/>
  <c r="M480" i="1"/>
  <c r="L480" i="1"/>
  <c r="K480" i="1"/>
  <c r="J480" i="1"/>
  <c r="G480" i="1"/>
  <c r="A480" i="1"/>
  <c r="Q479" i="1"/>
  <c r="P479" i="1"/>
  <c r="O479" i="1"/>
  <c r="M479" i="1"/>
  <c r="L479" i="1"/>
  <c r="K479" i="1"/>
  <c r="J479" i="1"/>
  <c r="G479" i="1"/>
  <c r="A479" i="1"/>
  <c r="Q478" i="1"/>
  <c r="P478" i="1"/>
  <c r="O478" i="1"/>
  <c r="M478" i="1"/>
  <c r="L478" i="1"/>
  <c r="K478" i="1"/>
  <c r="J478" i="1"/>
  <c r="G478" i="1"/>
  <c r="A478" i="1"/>
  <c r="Q477" i="1"/>
  <c r="P477" i="1"/>
  <c r="O477" i="1"/>
  <c r="M477" i="1"/>
  <c r="L477" i="1"/>
  <c r="K477" i="1"/>
  <c r="J477" i="1"/>
  <c r="G477" i="1"/>
  <c r="A477" i="1"/>
  <c r="Q476" i="1"/>
  <c r="P476" i="1"/>
  <c r="O476" i="1"/>
  <c r="M476" i="1"/>
  <c r="L476" i="1"/>
  <c r="K476" i="1"/>
  <c r="J476" i="1"/>
  <c r="G476" i="1"/>
  <c r="A476" i="1"/>
  <c r="Q475" i="1"/>
  <c r="P475" i="1"/>
  <c r="O475" i="1"/>
  <c r="M475" i="1"/>
  <c r="L475" i="1"/>
  <c r="K475" i="1"/>
  <c r="J475" i="1"/>
  <c r="G475" i="1"/>
  <c r="A475" i="1"/>
  <c r="Q474" i="1"/>
  <c r="P474" i="1"/>
  <c r="O474" i="1"/>
  <c r="M474" i="1"/>
  <c r="L474" i="1"/>
  <c r="K474" i="1"/>
  <c r="J474" i="1"/>
  <c r="G474" i="1"/>
  <c r="A474" i="1"/>
  <c r="Q473" i="1"/>
  <c r="P473" i="1"/>
  <c r="O473" i="1"/>
  <c r="M473" i="1"/>
  <c r="L473" i="1"/>
  <c r="K473" i="1"/>
  <c r="J473" i="1"/>
  <c r="G473" i="1"/>
  <c r="A473" i="1"/>
  <c r="A472" i="1"/>
  <c r="A471" i="1"/>
  <c r="Q470" i="1"/>
  <c r="P470" i="1"/>
  <c r="O470" i="1"/>
  <c r="M470" i="1"/>
  <c r="L470" i="1"/>
  <c r="K470" i="1"/>
  <c r="J470" i="1"/>
  <c r="G470" i="1"/>
  <c r="A470" i="1"/>
  <c r="Q469" i="1"/>
  <c r="P469" i="1"/>
  <c r="O469" i="1"/>
  <c r="M469" i="1"/>
  <c r="L469" i="1"/>
  <c r="K469" i="1"/>
  <c r="J469" i="1"/>
  <c r="G469" i="1"/>
  <c r="A469" i="1"/>
  <c r="Q468" i="1"/>
  <c r="P468" i="1"/>
  <c r="O468" i="1"/>
  <c r="M468" i="1"/>
  <c r="L468" i="1"/>
  <c r="K468" i="1"/>
  <c r="J468" i="1"/>
  <c r="G468" i="1"/>
  <c r="A468" i="1"/>
  <c r="Q467" i="1"/>
  <c r="P467" i="1"/>
  <c r="O467" i="1"/>
  <c r="M467" i="1"/>
  <c r="L467" i="1"/>
  <c r="K467" i="1"/>
  <c r="J467" i="1"/>
  <c r="G467" i="1"/>
  <c r="A467" i="1"/>
  <c r="A466" i="1"/>
  <c r="A465" i="1"/>
  <c r="Q464" i="1"/>
  <c r="P464" i="1"/>
  <c r="O464" i="1"/>
  <c r="M464" i="1"/>
  <c r="L464" i="1"/>
  <c r="K464" i="1"/>
  <c r="J464" i="1"/>
  <c r="G464" i="1"/>
  <c r="A464" i="1"/>
  <c r="Q463" i="1"/>
  <c r="P463" i="1"/>
  <c r="O463" i="1"/>
  <c r="M463" i="1"/>
  <c r="L463" i="1"/>
  <c r="K463" i="1"/>
  <c r="J463" i="1"/>
  <c r="G463" i="1"/>
  <c r="A463" i="1"/>
  <c r="Q462" i="1"/>
  <c r="P462" i="1"/>
  <c r="O462" i="1"/>
  <c r="M462" i="1"/>
  <c r="L462" i="1"/>
  <c r="K462" i="1"/>
  <c r="J462" i="1"/>
  <c r="G462" i="1"/>
  <c r="A462" i="1"/>
  <c r="Q461" i="1"/>
  <c r="P461" i="1"/>
  <c r="O461" i="1"/>
  <c r="N461" i="1"/>
  <c r="M461" i="1"/>
  <c r="L461" i="1"/>
  <c r="K461" i="1"/>
  <c r="J461" i="1"/>
  <c r="G461" i="1"/>
  <c r="A461" i="1"/>
  <c r="Q460" i="1"/>
  <c r="P460" i="1"/>
  <c r="O460" i="1"/>
  <c r="M460" i="1"/>
  <c r="L460" i="1"/>
  <c r="K460" i="1"/>
  <c r="J460" i="1"/>
  <c r="G460" i="1"/>
  <c r="A460" i="1"/>
  <c r="Q459" i="1"/>
  <c r="P459" i="1"/>
  <c r="O459" i="1"/>
  <c r="M459" i="1"/>
  <c r="L459" i="1"/>
  <c r="K459" i="1"/>
  <c r="J459" i="1"/>
  <c r="G459" i="1"/>
  <c r="A459" i="1"/>
  <c r="Q458" i="1"/>
  <c r="P458" i="1"/>
  <c r="O458" i="1"/>
  <c r="N458" i="1"/>
  <c r="M458" i="1"/>
  <c r="L458" i="1"/>
  <c r="K458" i="1"/>
  <c r="J458" i="1"/>
  <c r="G458" i="1"/>
  <c r="A458" i="1"/>
  <c r="Q457" i="1"/>
  <c r="P457" i="1"/>
  <c r="O457" i="1"/>
  <c r="N457" i="1"/>
  <c r="M457" i="1"/>
  <c r="L457" i="1"/>
  <c r="K457" i="1"/>
  <c r="J457" i="1"/>
  <c r="G457" i="1"/>
  <c r="A457" i="1"/>
  <c r="Q456" i="1"/>
  <c r="P456" i="1"/>
  <c r="O456" i="1"/>
  <c r="N456" i="1"/>
  <c r="M456" i="1"/>
  <c r="L456" i="1"/>
  <c r="K456" i="1"/>
  <c r="J456" i="1"/>
  <c r="G456" i="1"/>
  <c r="A456" i="1"/>
  <c r="Q455" i="1"/>
  <c r="P455" i="1"/>
  <c r="O455" i="1"/>
  <c r="N455" i="1"/>
  <c r="M455" i="1"/>
  <c r="L455" i="1"/>
  <c r="K455" i="1"/>
  <c r="J455" i="1"/>
  <c r="G455" i="1"/>
  <c r="A455" i="1"/>
  <c r="Q454" i="1"/>
  <c r="P454" i="1"/>
  <c r="O454" i="1"/>
  <c r="N454" i="1"/>
  <c r="M454" i="1"/>
  <c r="L454" i="1"/>
  <c r="K454" i="1"/>
  <c r="J454" i="1"/>
  <c r="G454" i="1"/>
  <c r="A454" i="1"/>
  <c r="Q453" i="1"/>
  <c r="P453" i="1"/>
  <c r="O453" i="1"/>
  <c r="N453" i="1"/>
  <c r="M453" i="1"/>
  <c r="L453" i="1"/>
  <c r="K453" i="1"/>
  <c r="J453" i="1"/>
  <c r="G453" i="1"/>
  <c r="A453" i="1"/>
  <c r="Q452" i="1"/>
  <c r="P452" i="1"/>
  <c r="O452" i="1"/>
  <c r="N452" i="1"/>
  <c r="M452" i="1"/>
  <c r="L452" i="1"/>
  <c r="K452" i="1"/>
  <c r="J452" i="1"/>
  <c r="G452" i="1"/>
  <c r="A452" i="1"/>
  <c r="A451" i="1"/>
  <c r="A450" i="1"/>
  <c r="A449" i="1"/>
  <c r="Q448" i="1"/>
  <c r="A448" i="1"/>
  <c r="A447" i="1"/>
  <c r="Q446" i="1"/>
  <c r="P446" i="1"/>
  <c r="O446" i="1"/>
  <c r="M446" i="1"/>
  <c r="L446" i="1"/>
  <c r="K446" i="1"/>
  <c r="J446" i="1"/>
  <c r="G446" i="1"/>
  <c r="A446" i="1"/>
  <c r="A445" i="1"/>
  <c r="A444" i="1"/>
  <c r="Q443" i="1"/>
  <c r="P443" i="1"/>
  <c r="O443" i="1"/>
  <c r="N443" i="1"/>
  <c r="M443" i="1"/>
  <c r="L443" i="1"/>
  <c r="K443" i="1"/>
  <c r="J443" i="1"/>
  <c r="I443" i="1"/>
  <c r="G443" i="1"/>
  <c r="A443" i="1"/>
  <c r="Q442" i="1"/>
  <c r="P442" i="1"/>
  <c r="O442" i="1"/>
  <c r="N442" i="1"/>
  <c r="M442" i="1"/>
  <c r="L442" i="1"/>
  <c r="K442" i="1"/>
  <c r="J442" i="1"/>
  <c r="I442" i="1"/>
  <c r="G442" i="1"/>
  <c r="A442" i="1"/>
  <c r="Q441" i="1"/>
  <c r="P441" i="1"/>
  <c r="O441" i="1"/>
  <c r="N441" i="1"/>
  <c r="M441" i="1"/>
  <c r="L441" i="1"/>
  <c r="K441" i="1"/>
  <c r="J441" i="1"/>
  <c r="I441" i="1"/>
  <c r="G441" i="1"/>
  <c r="A441" i="1"/>
  <c r="Q440" i="1"/>
  <c r="P440" i="1"/>
  <c r="O440" i="1"/>
  <c r="N440" i="1"/>
  <c r="M440" i="1"/>
  <c r="L440" i="1"/>
  <c r="K440" i="1"/>
  <c r="J440" i="1"/>
  <c r="I440" i="1"/>
  <c r="G440" i="1"/>
  <c r="A440" i="1"/>
  <c r="Q439" i="1"/>
  <c r="P439" i="1"/>
  <c r="O439" i="1"/>
  <c r="N439" i="1"/>
  <c r="M439" i="1"/>
  <c r="L439" i="1"/>
  <c r="K439" i="1"/>
  <c r="J439" i="1"/>
  <c r="I439" i="1"/>
  <c r="G439" i="1"/>
  <c r="A439" i="1"/>
  <c r="Q438" i="1"/>
  <c r="P438" i="1"/>
  <c r="O438" i="1"/>
  <c r="N438" i="1"/>
  <c r="M438" i="1"/>
  <c r="L438" i="1"/>
  <c r="K438" i="1"/>
  <c r="J438" i="1"/>
  <c r="I438" i="1"/>
  <c r="G438" i="1"/>
  <c r="A438" i="1"/>
  <c r="Q437" i="1"/>
  <c r="P437" i="1"/>
  <c r="O437" i="1"/>
  <c r="N437" i="1"/>
  <c r="M437" i="1"/>
  <c r="L437" i="1"/>
  <c r="K437" i="1"/>
  <c r="J437" i="1"/>
  <c r="I437" i="1"/>
  <c r="G437" i="1"/>
  <c r="A437" i="1"/>
  <c r="Q436" i="1"/>
  <c r="P436" i="1"/>
  <c r="O436" i="1"/>
  <c r="N436" i="1"/>
  <c r="M436" i="1"/>
  <c r="L436" i="1"/>
  <c r="K436" i="1"/>
  <c r="J436" i="1"/>
  <c r="I436" i="1"/>
  <c r="G436" i="1"/>
  <c r="A436" i="1"/>
  <c r="Q435" i="1"/>
  <c r="P435" i="1"/>
  <c r="O435" i="1"/>
  <c r="N435" i="1"/>
  <c r="M435" i="1"/>
  <c r="L435" i="1"/>
  <c r="K435" i="1"/>
  <c r="J435" i="1"/>
  <c r="I435" i="1"/>
  <c r="G435" i="1"/>
  <c r="A435" i="1"/>
  <c r="Q434" i="1"/>
  <c r="P434" i="1"/>
  <c r="O434" i="1"/>
  <c r="N434" i="1"/>
  <c r="M434" i="1"/>
  <c r="L434" i="1"/>
  <c r="K434" i="1"/>
  <c r="J434" i="1"/>
  <c r="I434" i="1"/>
  <c r="G434" i="1"/>
  <c r="A434" i="1"/>
  <c r="Q433" i="1"/>
  <c r="P433" i="1"/>
  <c r="O433" i="1"/>
  <c r="N433" i="1"/>
  <c r="M433" i="1"/>
  <c r="L433" i="1"/>
  <c r="K433" i="1"/>
  <c r="J433" i="1"/>
  <c r="I433" i="1"/>
  <c r="G433" i="1"/>
  <c r="A433" i="1"/>
  <c r="Q432" i="1"/>
  <c r="P432" i="1"/>
  <c r="O432" i="1"/>
  <c r="N432" i="1"/>
  <c r="M432" i="1"/>
  <c r="L432" i="1"/>
  <c r="K432" i="1"/>
  <c r="J432" i="1"/>
  <c r="I432" i="1"/>
  <c r="G432" i="1"/>
  <c r="A432" i="1"/>
  <c r="A431" i="1"/>
  <c r="A430" i="1"/>
  <c r="Q429" i="1"/>
  <c r="P429" i="1"/>
  <c r="O429" i="1"/>
  <c r="M429" i="1"/>
  <c r="L429" i="1"/>
  <c r="K429" i="1"/>
  <c r="J429" i="1"/>
  <c r="G429" i="1"/>
  <c r="A429" i="1"/>
  <c r="Q428" i="1"/>
  <c r="P428" i="1"/>
  <c r="O428" i="1"/>
  <c r="M428" i="1"/>
  <c r="L428" i="1"/>
  <c r="K428" i="1"/>
  <c r="J428" i="1"/>
  <c r="G428" i="1"/>
  <c r="A428" i="1"/>
  <c r="Q427" i="1"/>
  <c r="P427" i="1"/>
  <c r="O427" i="1"/>
  <c r="M427" i="1"/>
  <c r="L427" i="1"/>
  <c r="K427" i="1"/>
  <c r="J427" i="1"/>
  <c r="G427" i="1"/>
  <c r="A427" i="1"/>
  <c r="Q426" i="1"/>
  <c r="P426" i="1"/>
  <c r="O426" i="1"/>
  <c r="M426" i="1"/>
  <c r="L426" i="1"/>
  <c r="K426" i="1"/>
  <c r="J426" i="1"/>
  <c r="G426" i="1"/>
  <c r="A426" i="1"/>
  <c r="Q425" i="1"/>
  <c r="P425" i="1"/>
  <c r="O425" i="1"/>
  <c r="M425" i="1"/>
  <c r="L425" i="1"/>
  <c r="K425" i="1"/>
  <c r="J425" i="1"/>
  <c r="G425" i="1"/>
  <c r="A425" i="1"/>
  <c r="Q424" i="1"/>
  <c r="P424" i="1"/>
  <c r="O424" i="1"/>
  <c r="M424" i="1"/>
  <c r="L424" i="1"/>
  <c r="K424" i="1"/>
  <c r="J424" i="1"/>
  <c r="G424" i="1"/>
  <c r="A424" i="1"/>
  <c r="A423" i="1"/>
  <c r="A422" i="1"/>
  <c r="Q421" i="1"/>
  <c r="P421" i="1"/>
  <c r="O421" i="1"/>
  <c r="M421" i="1"/>
  <c r="L421" i="1"/>
  <c r="K421" i="1"/>
  <c r="J421" i="1"/>
  <c r="G421" i="1"/>
  <c r="A421" i="1"/>
  <c r="Q420" i="1"/>
  <c r="P420" i="1"/>
  <c r="O420" i="1"/>
  <c r="M420" i="1"/>
  <c r="L420" i="1"/>
  <c r="K420" i="1"/>
  <c r="J420" i="1"/>
  <c r="G420" i="1"/>
  <c r="A420" i="1"/>
  <c r="Q419" i="1"/>
  <c r="P419" i="1"/>
  <c r="O419" i="1"/>
  <c r="M419" i="1"/>
  <c r="L419" i="1"/>
  <c r="K419" i="1"/>
  <c r="J419" i="1"/>
  <c r="G419" i="1"/>
  <c r="A419" i="1"/>
  <c r="Q418" i="1"/>
  <c r="P418" i="1"/>
  <c r="O418" i="1"/>
  <c r="M418" i="1"/>
  <c r="L418" i="1"/>
  <c r="K418" i="1"/>
  <c r="J418" i="1"/>
  <c r="G418" i="1"/>
  <c r="A418" i="1"/>
  <c r="A417" i="1"/>
  <c r="A416" i="1"/>
  <c r="Q415" i="1"/>
  <c r="P415" i="1"/>
  <c r="O415" i="1"/>
  <c r="M415" i="1"/>
  <c r="L415" i="1"/>
  <c r="K415" i="1"/>
  <c r="J415" i="1"/>
  <c r="G415" i="1"/>
  <c r="A415" i="1"/>
  <c r="Q414" i="1"/>
  <c r="P414" i="1"/>
  <c r="O414" i="1"/>
  <c r="M414" i="1"/>
  <c r="L414" i="1"/>
  <c r="K414" i="1"/>
  <c r="J414" i="1"/>
  <c r="G414" i="1"/>
  <c r="A414" i="1"/>
  <c r="Q413" i="1"/>
  <c r="P413" i="1"/>
  <c r="O413" i="1"/>
  <c r="M413" i="1"/>
  <c r="L413" i="1"/>
  <c r="K413" i="1"/>
  <c r="J413" i="1"/>
  <c r="G413" i="1"/>
  <c r="A413" i="1"/>
  <c r="Q412" i="1"/>
  <c r="P412" i="1"/>
  <c r="O412" i="1"/>
  <c r="M412" i="1"/>
  <c r="L412" i="1"/>
  <c r="K412" i="1"/>
  <c r="J412" i="1"/>
  <c r="G412" i="1"/>
  <c r="A412" i="1"/>
  <c r="Q411" i="1"/>
  <c r="P411" i="1"/>
  <c r="O411" i="1"/>
  <c r="M411" i="1"/>
  <c r="L411" i="1"/>
  <c r="K411" i="1"/>
  <c r="J411" i="1"/>
  <c r="G411" i="1"/>
  <c r="A411" i="1"/>
  <c r="Q410" i="1"/>
  <c r="P410" i="1"/>
  <c r="O410" i="1"/>
  <c r="M410" i="1"/>
  <c r="L410" i="1"/>
  <c r="K410" i="1"/>
  <c r="J410" i="1"/>
  <c r="G410" i="1"/>
  <c r="A410" i="1"/>
  <c r="Q409" i="1"/>
  <c r="P409" i="1"/>
  <c r="O409" i="1"/>
  <c r="M409" i="1"/>
  <c r="L409" i="1"/>
  <c r="K409" i="1"/>
  <c r="J409" i="1"/>
  <c r="G409" i="1"/>
  <c r="A409" i="1"/>
  <c r="Q408" i="1"/>
  <c r="P408" i="1"/>
  <c r="O408" i="1"/>
  <c r="M408" i="1"/>
  <c r="L408" i="1"/>
  <c r="K408" i="1"/>
  <c r="J408" i="1"/>
  <c r="G408" i="1"/>
  <c r="A408" i="1"/>
  <c r="Q407" i="1"/>
  <c r="P407" i="1"/>
  <c r="O407" i="1"/>
  <c r="M407" i="1"/>
  <c r="L407" i="1"/>
  <c r="K407" i="1"/>
  <c r="J407" i="1"/>
  <c r="G407" i="1"/>
  <c r="A407" i="1"/>
  <c r="Q406" i="1"/>
  <c r="P406" i="1"/>
  <c r="O406" i="1"/>
  <c r="M406" i="1"/>
  <c r="L406" i="1"/>
  <c r="K406" i="1"/>
  <c r="J406" i="1"/>
  <c r="G406" i="1"/>
  <c r="A406" i="1"/>
  <c r="A405" i="1"/>
  <c r="A404" i="1"/>
  <c r="Q403" i="1"/>
  <c r="P403" i="1"/>
  <c r="O403" i="1"/>
  <c r="M403" i="1"/>
  <c r="L403" i="1"/>
  <c r="K403" i="1"/>
  <c r="J403" i="1"/>
  <c r="G403" i="1"/>
  <c r="A403" i="1"/>
  <c r="Q402" i="1"/>
  <c r="P402" i="1"/>
  <c r="O402" i="1"/>
  <c r="M402" i="1"/>
  <c r="L402" i="1"/>
  <c r="K402" i="1"/>
  <c r="J402" i="1"/>
  <c r="G402" i="1"/>
  <c r="A402" i="1"/>
  <c r="Q401" i="1"/>
  <c r="P401" i="1"/>
  <c r="O401" i="1"/>
  <c r="M401" i="1"/>
  <c r="L401" i="1"/>
  <c r="K401" i="1"/>
  <c r="J401" i="1"/>
  <c r="G401" i="1"/>
  <c r="A401" i="1"/>
  <c r="Q400" i="1"/>
  <c r="P400" i="1"/>
  <c r="O400" i="1"/>
  <c r="M400" i="1"/>
  <c r="L400" i="1"/>
  <c r="K400" i="1"/>
  <c r="J400" i="1"/>
  <c r="G400" i="1"/>
  <c r="A400" i="1"/>
  <c r="Q399" i="1"/>
  <c r="P399" i="1"/>
  <c r="O399" i="1"/>
  <c r="M399" i="1"/>
  <c r="L399" i="1"/>
  <c r="K399" i="1"/>
  <c r="J399" i="1"/>
  <c r="G399" i="1"/>
  <c r="A399" i="1"/>
  <c r="Q398" i="1"/>
  <c r="P398" i="1"/>
  <c r="O398" i="1"/>
  <c r="M398" i="1"/>
  <c r="L398" i="1"/>
  <c r="K398" i="1"/>
  <c r="J398" i="1"/>
  <c r="G398" i="1"/>
  <c r="A398" i="1"/>
  <c r="Q397" i="1"/>
  <c r="P397" i="1"/>
  <c r="O397" i="1"/>
  <c r="M397" i="1"/>
  <c r="L397" i="1"/>
  <c r="K397" i="1"/>
  <c r="J397" i="1"/>
  <c r="G397" i="1"/>
  <c r="A397" i="1"/>
  <c r="Q396" i="1"/>
  <c r="P396" i="1"/>
  <c r="O396" i="1"/>
  <c r="M396" i="1"/>
  <c r="L396" i="1"/>
  <c r="K396" i="1"/>
  <c r="J396" i="1"/>
  <c r="G396" i="1"/>
  <c r="A396" i="1"/>
  <c r="Q395" i="1"/>
  <c r="P395" i="1"/>
  <c r="O395" i="1"/>
  <c r="M395" i="1"/>
  <c r="L395" i="1"/>
  <c r="K395" i="1"/>
  <c r="J395" i="1"/>
  <c r="G395" i="1"/>
  <c r="A395" i="1"/>
  <c r="Q394" i="1"/>
  <c r="P394" i="1"/>
  <c r="O394" i="1"/>
  <c r="M394" i="1"/>
  <c r="L394" i="1"/>
  <c r="K394" i="1"/>
  <c r="J394" i="1"/>
  <c r="G394" i="1"/>
  <c r="A394" i="1"/>
  <c r="A393" i="1"/>
  <c r="A392" i="1"/>
  <c r="Q391" i="1"/>
  <c r="P391" i="1"/>
  <c r="O391" i="1"/>
  <c r="M391" i="1"/>
  <c r="L391" i="1"/>
  <c r="K391" i="1"/>
  <c r="J391" i="1"/>
  <c r="G391" i="1"/>
  <c r="A391" i="1"/>
  <c r="Q390" i="1"/>
  <c r="P390" i="1"/>
  <c r="O390" i="1"/>
  <c r="M390" i="1"/>
  <c r="L390" i="1"/>
  <c r="K390" i="1"/>
  <c r="J390" i="1"/>
  <c r="G390" i="1"/>
  <c r="A390" i="1"/>
  <c r="Q389" i="1"/>
  <c r="P389" i="1"/>
  <c r="O389" i="1"/>
  <c r="M389" i="1"/>
  <c r="L389" i="1"/>
  <c r="K389" i="1"/>
  <c r="J389" i="1"/>
  <c r="G389" i="1"/>
  <c r="A389" i="1"/>
  <c r="Q388" i="1"/>
  <c r="P388" i="1"/>
  <c r="O388" i="1"/>
  <c r="M388" i="1"/>
  <c r="L388" i="1"/>
  <c r="K388" i="1"/>
  <c r="J388" i="1"/>
  <c r="G388" i="1"/>
  <c r="A388" i="1"/>
  <c r="Q387" i="1"/>
  <c r="P387" i="1"/>
  <c r="O387" i="1"/>
  <c r="M387" i="1"/>
  <c r="L387" i="1"/>
  <c r="K387" i="1"/>
  <c r="J387" i="1"/>
  <c r="G387" i="1"/>
  <c r="A387" i="1"/>
  <c r="A386" i="1"/>
  <c r="A385" i="1"/>
  <c r="Q384" i="1"/>
  <c r="P384" i="1"/>
  <c r="O384" i="1"/>
  <c r="M384" i="1"/>
  <c r="L384" i="1"/>
  <c r="K384" i="1"/>
  <c r="J384" i="1"/>
  <c r="G384" i="1"/>
  <c r="A384" i="1"/>
  <c r="Q383" i="1"/>
  <c r="P383" i="1"/>
  <c r="O383" i="1"/>
  <c r="M383" i="1"/>
  <c r="L383" i="1"/>
  <c r="K383" i="1"/>
  <c r="J383" i="1"/>
  <c r="G383" i="1"/>
  <c r="A383" i="1"/>
  <c r="Q382" i="1"/>
  <c r="P382" i="1"/>
  <c r="O382" i="1"/>
  <c r="M382" i="1"/>
  <c r="L382" i="1"/>
  <c r="K382" i="1"/>
  <c r="J382" i="1"/>
  <c r="G382" i="1"/>
  <c r="A382" i="1"/>
  <c r="Q381" i="1"/>
  <c r="P381" i="1"/>
  <c r="O381" i="1"/>
  <c r="M381" i="1"/>
  <c r="L381" i="1"/>
  <c r="K381" i="1"/>
  <c r="J381" i="1"/>
  <c r="G381" i="1"/>
  <c r="A381" i="1"/>
  <c r="Q380" i="1"/>
  <c r="P380" i="1"/>
  <c r="O380" i="1"/>
  <c r="M380" i="1"/>
  <c r="L380" i="1"/>
  <c r="K380" i="1"/>
  <c r="J380" i="1"/>
  <c r="G380" i="1"/>
  <c r="A380" i="1"/>
  <c r="Q379" i="1"/>
  <c r="P379" i="1"/>
  <c r="O379" i="1"/>
  <c r="M379" i="1"/>
  <c r="L379" i="1"/>
  <c r="K379" i="1"/>
  <c r="J379" i="1"/>
  <c r="G379" i="1"/>
  <c r="A379" i="1"/>
  <c r="Q378" i="1"/>
  <c r="P378" i="1"/>
  <c r="O378" i="1"/>
  <c r="M378" i="1"/>
  <c r="L378" i="1"/>
  <c r="K378" i="1"/>
  <c r="J378" i="1"/>
  <c r="G378" i="1"/>
  <c r="A378" i="1"/>
  <c r="Q377" i="1"/>
  <c r="P377" i="1"/>
  <c r="O377" i="1"/>
  <c r="M377" i="1"/>
  <c r="L377" i="1"/>
  <c r="K377" i="1"/>
  <c r="J377" i="1"/>
  <c r="G377" i="1"/>
  <c r="A377" i="1"/>
  <c r="Q376" i="1"/>
  <c r="P376" i="1"/>
  <c r="O376" i="1"/>
  <c r="M376" i="1"/>
  <c r="L376" i="1"/>
  <c r="K376" i="1"/>
  <c r="J376" i="1"/>
  <c r="G376" i="1"/>
  <c r="A376" i="1"/>
  <c r="Q375" i="1"/>
  <c r="P375" i="1"/>
  <c r="O375" i="1"/>
  <c r="M375" i="1"/>
  <c r="L375" i="1"/>
  <c r="K375" i="1"/>
  <c r="J375" i="1"/>
  <c r="G375" i="1"/>
  <c r="A375" i="1"/>
  <c r="Q374" i="1"/>
  <c r="P374" i="1"/>
  <c r="O374" i="1"/>
  <c r="M374" i="1"/>
  <c r="L374" i="1"/>
  <c r="K374" i="1"/>
  <c r="J374" i="1"/>
  <c r="G374" i="1"/>
  <c r="A374" i="1"/>
  <c r="Q373" i="1"/>
  <c r="P373" i="1"/>
  <c r="O373" i="1"/>
  <c r="M373" i="1"/>
  <c r="L373" i="1"/>
  <c r="K373" i="1"/>
  <c r="J373" i="1"/>
  <c r="G373" i="1"/>
  <c r="A373" i="1"/>
  <c r="Q372" i="1"/>
  <c r="P372" i="1"/>
  <c r="O372" i="1"/>
  <c r="M372" i="1"/>
  <c r="L372" i="1"/>
  <c r="K372" i="1"/>
  <c r="J372" i="1"/>
  <c r="G372" i="1"/>
  <c r="A372" i="1"/>
  <c r="Q371" i="1"/>
  <c r="P371" i="1"/>
  <c r="O371" i="1"/>
  <c r="M371" i="1"/>
  <c r="L371" i="1"/>
  <c r="K371" i="1"/>
  <c r="J371" i="1"/>
  <c r="G371" i="1"/>
  <c r="A371" i="1"/>
  <c r="Q370" i="1"/>
  <c r="P370" i="1"/>
  <c r="O370" i="1"/>
  <c r="M370" i="1"/>
  <c r="L370" i="1"/>
  <c r="K370" i="1"/>
  <c r="J370" i="1"/>
  <c r="G370" i="1"/>
  <c r="A370" i="1"/>
  <c r="Q369" i="1"/>
  <c r="P369" i="1"/>
  <c r="O369" i="1"/>
  <c r="M369" i="1"/>
  <c r="L369" i="1"/>
  <c r="K369" i="1"/>
  <c r="J369" i="1"/>
  <c r="G369" i="1"/>
  <c r="A369" i="1"/>
  <c r="Q368" i="1"/>
  <c r="P368" i="1"/>
  <c r="O368" i="1"/>
  <c r="M368" i="1"/>
  <c r="L368" i="1"/>
  <c r="K368" i="1"/>
  <c r="J368" i="1"/>
  <c r="G368" i="1"/>
  <c r="A368" i="1"/>
  <c r="Q367" i="1"/>
  <c r="P367" i="1"/>
  <c r="O367" i="1"/>
  <c r="M367" i="1"/>
  <c r="L367" i="1"/>
  <c r="K367" i="1"/>
  <c r="J367" i="1"/>
  <c r="G367" i="1"/>
  <c r="A367" i="1"/>
  <c r="Q366" i="1"/>
  <c r="P366" i="1"/>
  <c r="O366" i="1"/>
  <c r="M366" i="1"/>
  <c r="L366" i="1"/>
  <c r="K366" i="1"/>
  <c r="J366" i="1"/>
  <c r="G366" i="1"/>
  <c r="A366" i="1"/>
  <c r="Q365" i="1"/>
  <c r="P365" i="1"/>
  <c r="O365" i="1"/>
  <c r="M365" i="1"/>
  <c r="L365" i="1"/>
  <c r="K365" i="1"/>
  <c r="J365" i="1"/>
  <c r="G365" i="1"/>
  <c r="A365" i="1"/>
  <c r="Q364" i="1"/>
  <c r="P364" i="1"/>
  <c r="O364" i="1"/>
  <c r="M364" i="1"/>
  <c r="L364" i="1"/>
  <c r="K364" i="1"/>
  <c r="J364" i="1"/>
  <c r="G364" i="1"/>
  <c r="A364" i="1"/>
  <c r="Q363" i="1"/>
  <c r="P363" i="1"/>
  <c r="O363" i="1"/>
  <c r="M363" i="1"/>
  <c r="L363" i="1"/>
  <c r="K363" i="1"/>
  <c r="J363" i="1"/>
  <c r="G363" i="1"/>
  <c r="A363" i="1"/>
  <c r="Q362" i="1"/>
  <c r="P362" i="1"/>
  <c r="O362" i="1"/>
  <c r="M362" i="1"/>
  <c r="L362" i="1"/>
  <c r="K362" i="1"/>
  <c r="J362" i="1"/>
  <c r="G362" i="1"/>
  <c r="A362" i="1"/>
  <c r="Q361" i="1"/>
  <c r="P361" i="1"/>
  <c r="O361" i="1"/>
  <c r="M361" i="1"/>
  <c r="L361" i="1"/>
  <c r="K361" i="1"/>
  <c r="J361" i="1"/>
  <c r="G361" i="1"/>
  <c r="A361" i="1"/>
  <c r="Q360" i="1"/>
  <c r="P360" i="1"/>
  <c r="O360" i="1"/>
  <c r="M360" i="1"/>
  <c r="L360" i="1"/>
  <c r="K360" i="1"/>
  <c r="J360" i="1"/>
  <c r="G360" i="1"/>
  <c r="A360" i="1"/>
  <c r="Q359" i="1"/>
  <c r="P359" i="1"/>
  <c r="O359" i="1"/>
  <c r="M359" i="1"/>
  <c r="L359" i="1"/>
  <c r="K359" i="1"/>
  <c r="J359" i="1"/>
  <c r="G359" i="1"/>
  <c r="A359" i="1"/>
  <c r="Q358" i="1"/>
  <c r="P358" i="1"/>
  <c r="O358" i="1"/>
  <c r="M358" i="1"/>
  <c r="L358" i="1"/>
  <c r="K358" i="1"/>
  <c r="J358" i="1"/>
  <c r="G358" i="1"/>
  <c r="A358" i="1"/>
  <c r="Q357" i="1"/>
  <c r="P357" i="1"/>
  <c r="O357" i="1"/>
  <c r="M357" i="1"/>
  <c r="L357" i="1"/>
  <c r="K357" i="1"/>
  <c r="J357" i="1"/>
  <c r="G357" i="1"/>
  <c r="A357" i="1"/>
  <c r="Q356" i="1"/>
  <c r="P356" i="1"/>
  <c r="O356" i="1"/>
  <c r="M356" i="1"/>
  <c r="L356" i="1"/>
  <c r="K356" i="1"/>
  <c r="J356" i="1"/>
  <c r="G356" i="1"/>
  <c r="A356" i="1"/>
  <c r="Q355" i="1"/>
  <c r="P355" i="1"/>
  <c r="O355" i="1"/>
  <c r="M355" i="1"/>
  <c r="L355" i="1"/>
  <c r="K355" i="1"/>
  <c r="J355" i="1"/>
  <c r="G355" i="1"/>
  <c r="A355" i="1"/>
  <c r="Q354" i="1"/>
  <c r="P354" i="1"/>
  <c r="O354" i="1"/>
  <c r="M354" i="1"/>
  <c r="L354" i="1"/>
  <c r="K354" i="1"/>
  <c r="J354" i="1"/>
  <c r="G354" i="1"/>
  <c r="A354" i="1"/>
  <c r="Q353" i="1"/>
  <c r="P353" i="1"/>
  <c r="O353" i="1"/>
  <c r="M353" i="1"/>
  <c r="L353" i="1"/>
  <c r="K353" i="1"/>
  <c r="J353" i="1"/>
  <c r="G353" i="1"/>
  <c r="A353" i="1"/>
  <c r="Q352" i="1"/>
  <c r="P352" i="1"/>
  <c r="O352" i="1"/>
  <c r="M352" i="1"/>
  <c r="L352" i="1"/>
  <c r="K352" i="1"/>
  <c r="J352" i="1"/>
  <c r="G352" i="1"/>
  <c r="A352" i="1"/>
  <c r="A351" i="1"/>
  <c r="A350" i="1"/>
  <c r="Q349" i="1"/>
  <c r="P349" i="1"/>
  <c r="O349" i="1"/>
  <c r="M349" i="1"/>
  <c r="L349" i="1"/>
  <c r="K349" i="1"/>
  <c r="J349" i="1"/>
  <c r="G349" i="1"/>
  <c r="A349" i="1"/>
  <c r="Q348" i="1"/>
  <c r="P348" i="1"/>
  <c r="O348" i="1"/>
  <c r="M348" i="1"/>
  <c r="L348" i="1"/>
  <c r="K348" i="1"/>
  <c r="J348" i="1"/>
  <c r="G348" i="1"/>
  <c r="A348" i="1"/>
  <c r="Q347" i="1"/>
  <c r="P347" i="1"/>
  <c r="O347" i="1"/>
  <c r="M347" i="1"/>
  <c r="L347" i="1"/>
  <c r="K347" i="1"/>
  <c r="J347" i="1"/>
  <c r="G347" i="1"/>
  <c r="A347" i="1"/>
  <c r="Q346" i="1"/>
  <c r="P346" i="1"/>
  <c r="O346" i="1"/>
  <c r="M346" i="1"/>
  <c r="L346" i="1"/>
  <c r="K346" i="1"/>
  <c r="J346" i="1"/>
  <c r="G346" i="1"/>
  <c r="A346" i="1"/>
  <c r="Q345" i="1"/>
  <c r="P345" i="1"/>
  <c r="O345" i="1"/>
  <c r="M345" i="1"/>
  <c r="L345" i="1"/>
  <c r="K345" i="1"/>
  <c r="J345" i="1"/>
  <c r="G345" i="1"/>
  <c r="A345" i="1"/>
  <c r="Q344" i="1"/>
  <c r="P344" i="1"/>
  <c r="O344" i="1"/>
  <c r="M344" i="1"/>
  <c r="L344" i="1"/>
  <c r="K344" i="1"/>
  <c r="J344" i="1"/>
  <c r="G344" i="1"/>
  <c r="A344" i="1"/>
  <c r="Q343" i="1"/>
  <c r="P343" i="1"/>
  <c r="O343" i="1"/>
  <c r="M343" i="1"/>
  <c r="L343" i="1"/>
  <c r="K343" i="1"/>
  <c r="J343" i="1"/>
  <c r="G343" i="1"/>
  <c r="A343" i="1"/>
  <c r="Q342" i="1"/>
  <c r="P342" i="1"/>
  <c r="O342" i="1"/>
  <c r="M342" i="1"/>
  <c r="L342" i="1"/>
  <c r="K342" i="1"/>
  <c r="J342" i="1"/>
  <c r="G342" i="1"/>
  <c r="A342" i="1"/>
  <c r="Q341" i="1"/>
  <c r="P341" i="1"/>
  <c r="O341" i="1"/>
  <c r="M341" i="1"/>
  <c r="L341" i="1"/>
  <c r="K341" i="1"/>
  <c r="J341" i="1"/>
  <c r="G341" i="1"/>
  <c r="A341" i="1"/>
  <c r="A340" i="1"/>
  <c r="A339" i="1"/>
  <c r="Q338" i="1"/>
  <c r="P338" i="1"/>
  <c r="O338" i="1"/>
  <c r="M338" i="1"/>
  <c r="L338" i="1"/>
  <c r="K338" i="1"/>
  <c r="J338" i="1"/>
  <c r="G338" i="1"/>
  <c r="A338" i="1"/>
  <c r="Q337" i="1"/>
  <c r="P337" i="1"/>
  <c r="O337" i="1"/>
  <c r="M337" i="1"/>
  <c r="L337" i="1"/>
  <c r="K337" i="1"/>
  <c r="J337" i="1"/>
  <c r="G337" i="1"/>
  <c r="A337" i="1"/>
  <c r="A336" i="1"/>
  <c r="A335" i="1"/>
  <c r="A334" i="1"/>
  <c r="Q333" i="1"/>
  <c r="A333" i="1"/>
  <c r="A332" i="1"/>
  <c r="Q331" i="1"/>
  <c r="P331" i="1"/>
  <c r="O331" i="1"/>
  <c r="M331" i="1"/>
  <c r="L331" i="1"/>
  <c r="K331" i="1"/>
  <c r="J331" i="1"/>
  <c r="G331" i="1"/>
  <c r="A331" i="1"/>
  <c r="Q330" i="1"/>
  <c r="P330" i="1"/>
  <c r="O330" i="1"/>
  <c r="M330" i="1"/>
  <c r="L330" i="1"/>
  <c r="K330" i="1"/>
  <c r="J330" i="1"/>
  <c r="G330" i="1"/>
  <c r="A330" i="1"/>
  <c r="Q329" i="1"/>
  <c r="P329" i="1"/>
  <c r="O329" i="1"/>
  <c r="M329" i="1"/>
  <c r="L329" i="1"/>
  <c r="K329" i="1"/>
  <c r="J329" i="1"/>
  <c r="G329" i="1"/>
  <c r="A329" i="1"/>
  <c r="Q328" i="1"/>
  <c r="P328" i="1"/>
  <c r="O328" i="1"/>
  <c r="M328" i="1"/>
  <c r="L328" i="1"/>
  <c r="K328" i="1"/>
  <c r="J328" i="1"/>
  <c r="G328" i="1"/>
  <c r="A328" i="1"/>
  <c r="Q327" i="1"/>
  <c r="P327" i="1"/>
  <c r="O327" i="1"/>
  <c r="M327" i="1"/>
  <c r="L327" i="1"/>
  <c r="K327" i="1"/>
  <c r="J327" i="1"/>
  <c r="G327" i="1"/>
  <c r="A327" i="1"/>
  <c r="Q326" i="1"/>
  <c r="P326" i="1"/>
  <c r="O326" i="1"/>
  <c r="M326" i="1"/>
  <c r="L326" i="1"/>
  <c r="K326" i="1"/>
  <c r="J326" i="1"/>
  <c r="G326" i="1"/>
  <c r="A326" i="1"/>
  <c r="Q325" i="1"/>
  <c r="P325" i="1"/>
  <c r="O325" i="1"/>
  <c r="M325" i="1"/>
  <c r="L325" i="1"/>
  <c r="K325" i="1"/>
  <c r="J325" i="1"/>
  <c r="G325" i="1"/>
  <c r="A325" i="1"/>
  <c r="Q324" i="1"/>
  <c r="P324" i="1"/>
  <c r="O324" i="1"/>
  <c r="M324" i="1"/>
  <c r="L324" i="1"/>
  <c r="K324" i="1"/>
  <c r="J324" i="1"/>
  <c r="G324" i="1"/>
  <c r="A324" i="1"/>
  <c r="Q323" i="1"/>
  <c r="P323" i="1"/>
  <c r="O323" i="1"/>
  <c r="M323" i="1"/>
  <c r="L323" i="1"/>
  <c r="K323" i="1"/>
  <c r="J323" i="1"/>
  <c r="G323" i="1"/>
  <c r="A323" i="1"/>
  <c r="Q322" i="1"/>
  <c r="P322" i="1"/>
  <c r="O322" i="1"/>
  <c r="M322" i="1"/>
  <c r="L322" i="1"/>
  <c r="K322" i="1"/>
  <c r="J322" i="1"/>
  <c r="G322" i="1"/>
  <c r="A322" i="1"/>
  <c r="A321" i="1"/>
  <c r="A320" i="1"/>
  <c r="Q319" i="1"/>
  <c r="P319" i="1"/>
  <c r="O319" i="1"/>
  <c r="M319" i="1"/>
  <c r="L319" i="1"/>
  <c r="K319" i="1"/>
  <c r="J319" i="1"/>
  <c r="G319" i="1"/>
  <c r="A319" i="1"/>
  <c r="Q318" i="1"/>
  <c r="P318" i="1"/>
  <c r="O318" i="1"/>
  <c r="N318" i="1"/>
  <c r="M318" i="1"/>
  <c r="L318" i="1"/>
  <c r="K318" i="1"/>
  <c r="J318" i="1"/>
  <c r="G318" i="1"/>
  <c r="A318" i="1"/>
  <c r="Q317" i="1"/>
  <c r="P317" i="1"/>
  <c r="O317" i="1"/>
  <c r="N317" i="1"/>
  <c r="M317" i="1"/>
  <c r="L317" i="1"/>
  <c r="K317" i="1"/>
  <c r="J317" i="1"/>
  <c r="G317" i="1"/>
  <c r="A317" i="1"/>
  <c r="Q316" i="1"/>
  <c r="P316" i="1"/>
  <c r="O316" i="1"/>
  <c r="N316" i="1"/>
  <c r="M316" i="1"/>
  <c r="L316" i="1"/>
  <c r="K316" i="1"/>
  <c r="J316" i="1"/>
  <c r="G316" i="1"/>
  <c r="A316" i="1"/>
  <c r="Q315" i="1"/>
  <c r="P315" i="1"/>
  <c r="O315" i="1"/>
  <c r="N315" i="1"/>
  <c r="M315" i="1"/>
  <c r="L315" i="1"/>
  <c r="K315" i="1"/>
  <c r="J315" i="1"/>
  <c r="G315" i="1"/>
  <c r="A315" i="1"/>
  <c r="Q314" i="1"/>
  <c r="P314" i="1"/>
  <c r="O314" i="1"/>
  <c r="N314" i="1"/>
  <c r="M314" i="1"/>
  <c r="L314" i="1"/>
  <c r="K314" i="1"/>
  <c r="J314" i="1"/>
  <c r="G314" i="1"/>
  <c r="A314" i="1"/>
  <c r="Q313" i="1"/>
  <c r="P313" i="1"/>
  <c r="O313" i="1"/>
  <c r="N313" i="1"/>
  <c r="M313" i="1"/>
  <c r="L313" i="1"/>
  <c r="K313" i="1"/>
  <c r="J313" i="1"/>
  <c r="G313" i="1"/>
  <c r="A313" i="1"/>
  <c r="Q312" i="1"/>
  <c r="P312" i="1"/>
  <c r="O312" i="1"/>
  <c r="N312" i="1"/>
  <c r="M312" i="1"/>
  <c r="L312" i="1"/>
  <c r="K312" i="1"/>
  <c r="J312" i="1"/>
  <c r="G312" i="1"/>
  <c r="A312" i="1"/>
  <c r="Q311" i="1"/>
  <c r="P311" i="1"/>
  <c r="O311" i="1"/>
  <c r="N311" i="1"/>
  <c r="M311" i="1"/>
  <c r="L311" i="1"/>
  <c r="K311" i="1"/>
  <c r="J311" i="1"/>
  <c r="G311" i="1"/>
  <c r="A311" i="1"/>
  <c r="Q310" i="1"/>
  <c r="P310" i="1"/>
  <c r="O310" i="1"/>
  <c r="M310" i="1"/>
  <c r="L310" i="1"/>
  <c r="K310" i="1"/>
  <c r="J310" i="1"/>
  <c r="G310" i="1"/>
  <c r="A310" i="1"/>
  <c r="Q309" i="1"/>
  <c r="P309" i="1"/>
  <c r="O309" i="1"/>
  <c r="M309" i="1"/>
  <c r="L309" i="1"/>
  <c r="K309" i="1"/>
  <c r="J309" i="1"/>
  <c r="G309" i="1"/>
  <c r="A309" i="1"/>
  <c r="Q308" i="1"/>
  <c r="P308" i="1"/>
  <c r="O308" i="1"/>
  <c r="M308" i="1"/>
  <c r="L308" i="1"/>
  <c r="K308" i="1"/>
  <c r="J308" i="1"/>
  <c r="G308" i="1"/>
  <c r="A308" i="1"/>
  <c r="Q307" i="1"/>
  <c r="P307" i="1"/>
  <c r="O307" i="1"/>
  <c r="M307" i="1"/>
  <c r="L307" i="1"/>
  <c r="K307" i="1"/>
  <c r="J307" i="1"/>
  <c r="G307" i="1"/>
  <c r="A307" i="1"/>
  <c r="Q306" i="1"/>
  <c r="P306" i="1"/>
  <c r="O306" i="1"/>
  <c r="M306" i="1"/>
  <c r="L306" i="1"/>
  <c r="K306" i="1"/>
  <c r="J306" i="1"/>
  <c r="G306" i="1"/>
  <c r="A306" i="1"/>
  <c r="Q305" i="1"/>
  <c r="P305" i="1"/>
  <c r="O305" i="1"/>
  <c r="M305" i="1"/>
  <c r="L305" i="1"/>
  <c r="K305" i="1"/>
  <c r="J305" i="1"/>
  <c r="G305" i="1"/>
  <c r="A305" i="1"/>
  <c r="Q304" i="1"/>
  <c r="P304" i="1"/>
  <c r="O304" i="1"/>
  <c r="M304" i="1"/>
  <c r="L304" i="1"/>
  <c r="K304" i="1"/>
  <c r="J304" i="1"/>
  <c r="G304" i="1"/>
  <c r="A304" i="1"/>
  <c r="Q303" i="1"/>
  <c r="P303" i="1"/>
  <c r="O303" i="1"/>
  <c r="M303" i="1"/>
  <c r="L303" i="1"/>
  <c r="K303" i="1"/>
  <c r="J303" i="1"/>
  <c r="G303" i="1"/>
  <c r="A303" i="1"/>
  <c r="Q302" i="1"/>
  <c r="P302" i="1"/>
  <c r="O302" i="1"/>
  <c r="M302" i="1"/>
  <c r="L302" i="1"/>
  <c r="K302" i="1"/>
  <c r="J302" i="1"/>
  <c r="G302" i="1"/>
  <c r="A302" i="1"/>
  <c r="Q301" i="1"/>
  <c r="P301" i="1"/>
  <c r="O301" i="1"/>
  <c r="M301" i="1"/>
  <c r="L301" i="1"/>
  <c r="K301" i="1"/>
  <c r="J301" i="1"/>
  <c r="G301" i="1"/>
  <c r="A301" i="1"/>
  <c r="A300" i="1"/>
  <c r="A299" i="1"/>
  <c r="A298" i="1"/>
  <c r="Q297" i="1"/>
  <c r="A297" i="1"/>
  <c r="A296" i="1"/>
  <c r="Q295" i="1"/>
  <c r="P295" i="1"/>
  <c r="O295" i="1"/>
  <c r="M295" i="1"/>
  <c r="L295" i="1"/>
  <c r="K295" i="1"/>
  <c r="J295" i="1"/>
  <c r="G295" i="1"/>
  <c r="A295" i="1"/>
  <c r="Q294" i="1"/>
  <c r="P294" i="1"/>
  <c r="O294" i="1"/>
  <c r="M294" i="1"/>
  <c r="L294" i="1"/>
  <c r="K294" i="1"/>
  <c r="J294" i="1"/>
  <c r="G294" i="1"/>
  <c r="A294" i="1"/>
  <c r="Q293" i="1"/>
  <c r="P293" i="1"/>
  <c r="O293" i="1"/>
  <c r="M293" i="1"/>
  <c r="L293" i="1"/>
  <c r="K293" i="1"/>
  <c r="J293" i="1"/>
  <c r="G293" i="1"/>
  <c r="A293" i="1"/>
  <c r="A292" i="1"/>
  <c r="A291" i="1"/>
  <c r="Q290" i="1"/>
  <c r="P290" i="1"/>
  <c r="O290" i="1"/>
  <c r="M290" i="1"/>
  <c r="L290" i="1"/>
  <c r="K290" i="1"/>
  <c r="J290" i="1"/>
  <c r="G290" i="1"/>
  <c r="A290" i="1"/>
  <c r="A289" i="1"/>
  <c r="A288" i="1"/>
  <c r="Q287" i="1"/>
  <c r="P287" i="1"/>
  <c r="O287" i="1"/>
  <c r="M287" i="1"/>
  <c r="L287" i="1"/>
  <c r="K287" i="1"/>
  <c r="J287" i="1"/>
  <c r="G287" i="1"/>
  <c r="A287" i="1"/>
  <c r="A286" i="1"/>
  <c r="A285" i="1"/>
  <c r="A284" i="1"/>
  <c r="Q283" i="1"/>
  <c r="A283" i="1"/>
  <c r="A282" i="1"/>
  <c r="Q281" i="1"/>
  <c r="P281" i="1"/>
  <c r="O281" i="1"/>
  <c r="M281" i="1"/>
  <c r="L281" i="1"/>
  <c r="K281" i="1"/>
  <c r="J281" i="1"/>
  <c r="G281" i="1"/>
  <c r="A281" i="1"/>
  <c r="Q280" i="1"/>
  <c r="P280" i="1"/>
  <c r="O280" i="1"/>
  <c r="M280" i="1"/>
  <c r="L280" i="1"/>
  <c r="K280" i="1"/>
  <c r="J280" i="1"/>
  <c r="G280" i="1"/>
  <c r="A280" i="1"/>
  <c r="Q279" i="1"/>
  <c r="P279" i="1"/>
  <c r="O279" i="1"/>
  <c r="M279" i="1"/>
  <c r="L279" i="1"/>
  <c r="K279" i="1"/>
  <c r="J279" i="1"/>
  <c r="G279" i="1"/>
  <c r="A279" i="1"/>
  <c r="Q278" i="1"/>
  <c r="P278" i="1"/>
  <c r="O278" i="1"/>
  <c r="M278" i="1"/>
  <c r="L278" i="1"/>
  <c r="K278" i="1"/>
  <c r="J278" i="1"/>
  <c r="G278" i="1"/>
  <c r="A278" i="1"/>
  <c r="Q277" i="1"/>
  <c r="P277" i="1"/>
  <c r="O277" i="1"/>
  <c r="M277" i="1"/>
  <c r="L277" i="1"/>
  <c r="K277" i="1"/>
  <c r="J277" i="1"/>
  <c r="G277" i="1"/>
  <c r="A277" i="1"/>
  <c r="Q276" i="1"/>
  <c r="P276" i="1"/>
  <c r="O276" i="1"/>
  <c r="M276" i="1"/>
  <c r="L276" i="1"/>
  <c r="K276" i="1"/>
  <c r="J276" i="1"/>
  <c r="G276" i="1"/>
  <c r="A276" i="1"/>
  <c r="Q275" i="1"/>
  <c r="P275" i="1"/>
  <c r="O275" i="1"/>
  <c r="M275" i="1"/>
  <c r="L275" i="1"/>
  <c r="K275" i="1"/>
  <c r="J275" i="1"/>
  <c r="G275" i="1"/>
  <c r="A275" i="1"/>
  <c r="Q274" i="1"/>
  <c r="P274" i="1"/>
  <c r="O274" i="1"/>
  <c r="M274" i="1"/>
  <c r="L274" i="1"/>
  <c r="K274" i="1"/>
  <c r="J274" i="1"/>
  <c r="G274" i="1"/>
  <c r="A274" i="1"/>
  <c r="Q273" i="1"/>
  <c r="P273" i="1"/>
  <c r="O273" i="1"/>
  <c r="M273" i="1"/>
  <c r="L273" i="1"/>
  <c r="K273" i="1"/>
  <c r="J273" i="1"/>
  <c r="G273" i="1"/>
  <c r="A273" i="1"/>
  <c r="Q272" i="1"/>
  <c r="P272" i="1"/>
  <c r="O272" i="1"/>
  <c r="M272" i="1"/>
  <c r="L272" i="1"/>
  <c r="K272" i="1"/>
  <c r="J272" i="1"/>
  <c r="G272" i="1"/>
  <c r="A272" i="1"/>
  <c r="Q271" i="1"/>
  <c r="P271" i="1"/>
  <c r="O271" i="1"/>
  <c r="M271" i="1"/>
  <c r="L271" i="1"/>
  <c r="K271" i="1"/>
  <c r="J271" i="1"/>
  <c r="G271" i="1"/>
  <c r="A271" i="1"/>
  <c r="Q270" i="1"/>
  <c r="P270" i="1"/>
  <c r="O270" i="1"/>
  <c r="N270" i="1"/>
  <c r="M270" i="1"/>
  <c r="L270" i="1"/>
  <c r="K270" i="1"/>
  <c r="J270" i="1"/>
  <c r="I270" i="1"/>
  <c r="G270" i="1"/>
  <c r="A270" i="1"/>
  <c r="A269" i="1"/>
  <c r="A268" i="1"/>
  <c r="A267" i="1"/>
  <c r="Q266" i="1"/>
  <c r="A266" i="1"/>
  <c r="A265" i="1"/>
  <c r="Q264" i="1"/>
  <c r="P264" i="1"/>
  <c r="O264" i="1"/>
  <c r="M264" i="1"/>
  <c r="L264" i="1"/>
  <c r="J264" i="1"/>
  <c r="G264" i="1"/>
  <c r="A264" i="1"/>
  <c r="Q263" i="1"/>
  <c r="P263" i="1"/>
  <c r="O263" i="1"/>
  <c r="M263" i="1"/>
  <c r="L263" i="1"/>
  <c r="J263" i="1"/>
  <c r="G263" i="1"/>
  <c r="A263" i="1"/>
  <c r="Q262" i="1"/>
  <c r="P262" i="1"/>
  <c r="O262" i="1"/>
  <c r="M262" i="1"/>
  <c r="L262" i="1"/>
  <c r="J262" i="1"/>
  <c r="G262" i="1"/>
  <c r="A262" i="1"/>
  <c r="Q261" i="1"/>
  <c r="P261" i="1"/>
  <c r="O261" i="1"/>
  <c r="M261" i="1"/>
  <c r="L261" i="1"/>
  <c r="J261" i="1"/>
  <c r="G261" i="1"/>
  <c r="A261" i="1"/>
  <c r="Q260" i="1"/>
  <c r="P260" i="1"/>
  <c r="O260" i="1"/>
  <c r="M260" i="1"/>
  <c r="L260" i="1"/>
  <c r="J260" i="1"/>
  <c r="G260" i="1"/>
  <c r="A260" i="1"/>
  <c r="Q259" i="1"/>
  <c r="P259" i="1"/>
  <c r="O259" i="1"/>
  <c r="M259" i="1"/>
  <c r="L259" i="1"/>
  <c r="J259" i="1"/>
  <c r="G259" i="1"/>
  <c r="A259" i="1"/>
  <c r="A258" i="1"/>
  <c r="A257" i="1"/>
  <c r="Q256" i="1"/>
  <c r="P256" i="1"/>
  <c r="O256" i="1"/>
  <c r="M256" i="1"/>
  <c r="L256" i="1"/>
  <c r="K256" i="1"/>
  <c r="J256" i="1"/>
  <c r="G256" i="1"/>
  <c r="A256" i="1"/>
  <c r="Q255" i="1"/>
  <c r="P255" i="1"/>
  <c r="O255" i="1"/>
  <c r="M255" i="1"/>
  <c r="L255" i="1"/>
  <c r="K255" i="1"/>
  <c r="J255" i="1"/>
  <c r="G255" i="1"/>
  <c r="A255" i="1"/>
  <c r="Q254" i="1"/>
  <c r="P254" i="1"/>
  <c r="O254" i="1"/>
  <c r="M254" i="1"/>
  <c r="L254" i="1"/>
  <c r="K254" i="1"/>
  <c r="J254" i="1"/>
  <c r="G254" i="1"/>
  <c r="A254" i="1"/>
  <c r="Q253" i="1"/>
  <c r="P253" i="1"/>
  <c r="O253" i="1"/>
  <c r="M253" i="1"/>
  <c r="L253" i="1"/>
  <c r="K253" i="1"/>
  <c r="J253" i="1"/>
  <c r="G253" i="1"/>
  <c r="A253" i="1"/>
  <c r="Q252" i="1"/>
  <c r="P252" i="1"/>
  <c r="O252" i="1"/>
  <c r="M252" i="1"/>
  <c r="L252" i="1"/>
  <c r="K252" i="1"/>
  <c r="J252" i="1"/>
  <c r="G252" i="1"/>
  <c r="A252" i="1"/>
  <c r="Q251" i="1"/>
  <c r="P251" i="1"/>
  <c r="O251" i="1"/>
  <c r="M251" i="1"/>
  <c r="L251" i="1"/>
  <c r="K251" i="1"/>
  <c r="J251" i="1"/>
  <c r="G251" i="1"/>
  <c r="A251" i="1"/>
  <c r="Q250" i="1"/>
  <c r="P250" i="1"/>
  <c r="O250" i="1"/>
  <c r="M250" i="1"/>
  <c r="L250" i="1"/>
  <c r="K250" i="1"/>
  <c r="J250" i="1"/>
  <c r="G250" i="1"/>
  <c r="A250" i="1"/>
  <c r="Q249" i="1"/>
  <c r="P249" i="1"/>
  <c r="O249" i="1"/>
  <c r="M249" i="1"/>
  <c r="L249" i="1"/>
  <c r="K249" i="1"/>
  <c r="J249" i="1"/>
  <c r="G249" i="1"/>
  <c r="A249" i="1"/>
  <c r="Q248" i="1"/>
  <c r="P248" i="1"/>
  <c r="O248" i="1"/>
  <c r="M248" i="1"/>
  <c r="L248" i="1"/>
  <c r="K248" i="1"/>
  <c r="J248" i="1"/>
  <c r="G248" i="1"/>
  <c r="A248" i="1"/>
  <c r="Q247" i="1"/>
  <c r="P247" i="1"/>
  <c r="O247" i="1"/>
  <c r="M247" i="1"/>
  <c r="L247" i="1"/>
  <c r="K247" i="1"/>
  <c r="J247" i="1"/>
  <c r="G247" i="1"/>
  <c r="A247" i="1"/>
  <c r="Q246" i="1"/>
  <c r="P246" i="1"/>
  <c r="O246" i="1"/>
  <c r="M246" i="1"/>
  <c r="L246" i="1"/>
  <c r="K246" i="1"/>
  <c r="J246" i="1"/>
  <c r="G246" i="1"/>
  <c r="A246" i="1"/>
  <c r="A245" i="1"/>
  <c r="A244" i="1"/>
  <c r="Q243" i="1"/>
  <c r="P243" i="1"/>
  <c r="O243" i="1"/>
  <c r="N243" i="1"/>
  <c r="M243" i="1"/>
  <c r="L243" i="1"/>
  <c r="K243" i="1"/>
  <c r="J243" i="1"/>
  <c r="I243" i="1"/>
  <c r="G243" i="1"/>
  <c r="A243" i="1"/>
  <c r="Q242" i="1"/>
  <c r="P242" i="1"/>
  <c r="O242" i="1"/>
  <c r="M242" i="1"/>
  <c r="L242" i="1"/>
  <c r="K242" i="1"/>
  <c r="J242" i="1"/>
  <c r="G242" i="1"/>
  <c r="A242" i="1"/>
  <c r="Q241" i="1"/>
  <c r="P241" i="1"/>
  <c r="O241" i="1"/>
  <c r="M241" i="1"/>
  <c r="L241" i="1"/>
  <c r="K241" i="1"/>
  <c r="J241" i="1"/>
  <c r="G241" i="1"/>
  <c r="E241" i="1"/>
  <c r="A241" i="1"/>
  <c r="Q240" i="1"/>
  <c r="P240" i="1"/>
  <c r="O240" i="1"/>
  <c r="M240" i="1"/>
  <c r="L240" i="1"/>
  <c r="K240" i="1"/>
  <c r="J240" i="1"/>
  <c r="G240" i="1"/>
  <c r="E240" i="1"/>
  <c r="A240" i="1"/>
  <c r="Q239" i="1"/>
  <c r="P239" i="1"/>
  <c r="O239" i="1"/>
  <c r="M239" i="1"/>
  <c r="L239" i="1"/>
  <c r="K239" i="1"/>
  <c r="J239" i="1"/>
  <c r="G239" i="1"/>
  <c r="E239" i="1"/>
  <c r="A239" i="1"/>
  <c r="G238" i="1"/>
  <c r="E238" i="1"/>
  <c r="A238" i="1"/>
  <c r="Q237" i="1"/>
  <c r="P237" i="1"/>
  <c r="O237" i="1"/>
  <c r="M237" i="1"/>
  <c r="L237" i="1"/>
  <c r="K237" i="1"/>
  <c r="J237" i="1"/>
  <c r="G237" i="1"/>
  <c r="A237" i="1"/>
  <c r="Q236" i="1"/>
  <c r="P236" i="1"/>
  <c r="O236" i="1"/>
  <c r="M236" i="1"/>
  <c r="L236" i="1"/>
  <c r="K236" i="1"/>
  <c r="J236" i="1"/>
  <c r="G236" i="1"/>
  <c r="E236" i="1"/>
  <c r="A236" i="1"/>
  <c r="Q235" i="1"/>
  <c r="P235" i="1"/>
  <c r="O235" i="1"/>
  <c r="M235" i="1"/>
  <c r="L235" i="1"/>
  <c r="K235" i="1"/>
  <c r="J235" i="1"/>
  <c r="G235" i="1"/>
  <c r="E235" i="1"/>
  <c r="A235" i="1"/>
  <c r="Q234" i="1"/>
  <c r="P234" i="1"/>
  <c r="O234" i="1"/>
  <c r="M234" i="1"/>
  <c r="L234" i="1"/>
  <c r="K234" i="1"/>
  <c r="J234" i="1"/>
  <c r="G234" i="1"/>
  <c r="E234" i="1"/>
  <c r="A234" i="1"/>
  <c r="G233" i="1"/>
  <c r="E233" i="1"/>
  <c r="A233" i="1"/>
  <c r="Q232" i="1"/>
  <c r="P232" i="1"/>
  <c r="O232" i="1"/>
  <c r="M232" i="1"/>
  <c r="L232" i="1"/>
  <c r="K232" i="1"/>
  <c r="J232" i="1"/>
  <c r="G232" i="1"/>
  <c r="A232" i="1"/>
  <c r="A231" i="1"/>
  <c r="A230" i="1"/>
  <c r="Q229" i="1"/>
  <c r="P229" i="1"/>
  <c r="O229" i="1"/>
  <c r="M229" i="1"/>
  <c r="L229" i="1"/>
  <c r="K229" i="1"/>
  <c r="J229" i="1"/>
  <c r="G229" i="1"/>
  <c r="A229" i="1"/>
  <c r="Q228" i="1"/>
  <c r="P228" i="1"/>
  <c r="O228" i="1"/>
  <c r="M228" i="1"/>
  <c r="L228" i="1"/>
  <c r="K228" i="1"/>
  <c r="J228" i="1"/>
  <c r="G228" i="1"/>
  <c r="A228" i="1"/>
  <c r="Q227" i="1"/>
  <c r="P227" i="1"/>
  <c r="O227" i="1"/>
  <c r="M227" i="1"/>
  <c r="L227" i="1"/>
  <c r="K227" i="1"/>
  <c r="J227" i="1"/>
  <c r="G227" i="1"/>
  <c r="A227" i="1"/>
  <c r="Q226" i="1"/>
  <c r="P226" i="1"/>
  <c r="O226" i="1"/>
  <c r="M226" i="1"/>
  <c r="L226" i="1"/>
  <c r="K226" i="1"/>
  <c r="J226" i="1"/>
  <c r="G226" i="1"/>
  <c r="A226" i="1"/>
  <c r="A225" i="1"/>
  <c r="A224" i="1"/>
  <c r="Q223" i="1"/>
  <c r="P223" i="1"/>
  <c r="O223" i="1"/>
  <c r="M223" i="1"/>
  <c r="L223" i="1"/>
  <c r="K223" i="1"/>
  <c r="J223" i="1"/>
  <c r="G223" i="1"/>
  <c r="A223" i="1"/>
  <c r="Q222" i="1"/>
  <c r="P222" i="1"/>
  <c r="O222" i="1"/>
  <c r="M222" i="1"/>
  <c r="L222" i="1"/>
  <c r="K222" i="1"/>
  <c r="J222" i="1"/>
  <c r="G222" i="1"/>
  <c r="A222" i="1"/>
  <c r="Q221" i="1"/>
  <c r="P221" i="1"/>
  <c r="O221" i="1"/>
  <c r="M221" i="1"/>
  <c r="L221" i="1"/>
  <c r="K221" i="1"/>
  <c r="J221" i="1"/>
  <c r="G221" i="1"/>
  <c r="A221" i="1"/>
  <c r="A220" i="1"/>
  <c r="A219" i="1"/>
  <c r="Q218" i="1"/>
  <c r="P218" i="1"/>
  <c r="O218" i="1"/>
  <c r="M218" i="1"/>
  <c r="L218" i="1"/>
  <c r="K218" i="1"/>
  <c r="J218" i="1"/>
  <c r="G218" i="1"/>
  <c r="E218" i="1"/>
  <c r="A218" i="1"/>
  <c r="Q217" i="1"/>
  <c r="P217" i="1"/>
  <c r="O217" i="1"/>
  <c r="M217" i="1"/>
  <c r="L217" i="1"/>
  <c r="K217" i="1"/>
  <c r="J217" i="1"/>
  <c r="G217" i="1"/>
  <c r="E217" i="1"/>
  <c r="A217" i="1"/>
  <c r="Q216" i="1"/>
  <c r="P216" i="1"/>
  <c r="O216" i="1"/>
  <c r="M216" i="1"/>
  <c r="L216" i="1"/>
  <c r="K216" i="1"/>
  <c r="J216" i="1"/>
  <c r="G216" i="1"/>
  <c r="E216" i="1"/>
  <c r="A216" i="1"/>
  <c r="Q215" i="1"/>
  <c r="P215" i="1"/>
  <c r="O215" i="1"/>
  <c r="M215" i="1"/>
  <c r="L215" i="1"/>
  <c r="K215" i="1"/>
  <c r="J215" i="1"/>
  <c r="G215" i="1"/>
  <c r="E215" i="1"/>
  <c r="A215" i="1"/>
  <c r="Q214" i="1"/>
  <c r="P214" i="1"/>
  <c r="O214" i="1"/>
  <c r="M214" i="1"/>
  <c r="L214" i="1"/>
  <c r="K214" i="1"/>
  <c r="J214" i="1"/>
  <c r="G214" i="1"/>
  <c r="E214" i="1"/>
  <c r="A214" i="1"/>
  <c r="Q213" i="1"/>
  <c r="P213" i="1"/>
  <c r="O213" i="1"/>
  <c r="M213" i="1"/>
  <c r="L213" i="1"/>
  <c r="K213" i="1"/>
  <c r="J213" i="1"/>
  <c r="G213" i="1"/>
  <c r="E213" i="1"/>
  <c r="A213" i="1"/>
  <c r="Q212" i="1"/>
  <c r="P212" i="1"/>
  <c r="O212" i="1"/>
  <c r="M212" i="1"/>
  <c r="L212" i="1"/>
  <c r="K212" i="1"/>
  <c r="J212" i="1"/>
  <c r="G212" i="1"/>
  <c r="E212" i="1"/>
  <c r="A212" i="1"/>
  <c r="G211" i="1"/>
  <c r="E211" i="1"/>
  <c r="A211" i="1"/>
  <c r="Q210" i="1"/>
  <c r="P210" i="1"/>
  <c r="O210" i="1"/>
  <c r="M210" i="1"/>
  <c r="L210" i="1"/>
  <c r="K210" i="1"/>
  <c r="J210" i="1"/>
  <c r="G210" i="1"/>
  <c r="E210" i="1"/>
  <c r="A210" i="1"/>
  <c r="A209" i="1"/>
  <c r="A208" i="1"/>
  <c r="Q207" i="1"/>
  <c r="P207" i="1"/>
  <c r="O207" i="1"/>
  <c r="M207" i="1"/>
  <c r="L207" i="1"/>
  <c r="K207" i="1"/>
  <c r="J207" i="1"/>
  <c r="G207" i="1"/>
  <c r="E207" i="1"/>
  <c r="A207" i="1"/>
  <c r="Q206" i="1"/>
  <c r="P206" i="1"/>
  <c r="O206" i="1"/>
  <c r="M206" i="1"/>
  <c r="L206" i="1"/>
  <c r="K206" i="1"/>
  <c r="J206" i="1"/>
  <c r="G206" i="1"/>
  <c r="E206" i="1"/>
  <c r="A206" i="1"/>
  <c r="Q205" i="1"/>
  <c r="P205" i="1"/>
  <c r="O205" i="1"/>
  <c r="M205" i="1"/>
  <c r="L205" i="1"/>
  <c r="K205" i="1"/>
  <c r="J205" i="1"/>
  <c r="G205" i="1"/>
  <c r="E205" i="1"/>
  <c r="A205" i="1"/>
  <c r="Q204" i="1"/>
  <c r="P204" i="1"/>
  <c r="O204" i="1"/>
  <c r="M204" i="1"/>
  <c r="L204" i="1"/>
  <c r="K204" i="1"/>
  <c r="J204" i="1"/>
  <c r="G204" i="1"/>
  <c r="E204" i="1"/>
  <c r="A204" i="1"/>
  <c r="Q203" i="1"/>
  <c r="P203" i="1"/>
  <c r="O203" i="1"/>
  <c r="M203" i="1"/>
  <c r="L203" i="1"/>
  <c r="K203" i="1"/>
  <c r="J203" i="1"/>
  <c r="G203" i="1"/>
  <c r="E203" i="1"/>
  <c r="A203" i="1"/>
  <c r="Q202" i="1"/>
  <c r="P202" i="1"/>
  <c r="O202" i="1"/>
  <c r="M202" i="1"/>
  <c r="L202" i="1"/>
  <c r="K202" i="1"/>
  <c r="J202" i="1"/>
  <c r="G202" i="1"/>
  <c r="E202" i="1"/>
  <c r="A202" i="1"/>
  <c r="Q201" i="1"/>
  <c r="P201" i="1"/>
  <c r="O201" i="1"/>
  <c r="M201" i="1"/>
  <c r="L201" i="1"/>
  <c r="K201" i="1"/>
  <c r="J201" i="1"/>
  <c r="G201" i="1"/>
  <c r="E201" i="1"/>
  <c r="A201" i="1"/>
  <c r="G200" i="1"/>
  <c r="E200" i="1"/>
  <c r="A200" i="1"/>
  <c r="Q199" i="1"/>
  <c r="P199" i="1"/>
  <c r="O199" i="1"/>
  <c r="M199" i="1"/>
  <c r="L199" i="1"/>
  <c r="K199" i="1"/>
  <c r="J199" i="1"/>
  <c r="G199" i="1"/>
  <c r="E199" i="1"/>
  <c r="A199" i="1"/>
  <c r="A198" i="1"/>
  <c r="A197" i="1"/>
  <c r="Q196" i="1"/>
  <c r="P196" i="1"/>
  <c r="O196" i="1"/>
  <c r="M196" i="1"/>
  <c r="L196" i="1"/>
  <c r="K196" i="1"/>
  <c r="J196" i="1"/>
  <c r="G196" i="1"/>
  <c r="E196" i="1"/>
  <c r="A196" i="1"/>
  <c r="Q195" i="1"/>
  <c r="P195" i="1"/>
  <c r="O195" i="1"/>
  <c r="M195" i="1"/>
  <c r="L195" i="1"/>
  <c r="K195" i="1"/>
  <c r="J195" i="1"/>
  <c r="G195" i="1"/>
  <c r="E195" i="1"/>
  <c r="A195" i="1"/>
  <c r="Q194" i="1"/>
  <c r="P194" i="1"/>
  <c r="O194" i="1"/>
  <c r="M194" i="1"/>
  <c r="L194" i="1"/>
  <c r="K194" i="1"/>
  <c r="J194" i="1"/>
  <c r="G194" i="1"/>
  <c r="E194" i="1"/>
  <c r="A194" i="1"/>
  <c r="Q193" i="1"/>
  <c r="P193" i="1"/>
  <c r="O193" i="1"/>
  <c r="M193" i="1"/>
  <c r="L193" i="1"/>
  <c r="K193" i="1"/>
  <c r="J193" i="1"/>
  <c r="G193" i="1"/>
  <c r="E193" i="1"/>
  <c r="A193" i="1"/>
  <c r="Q192" i="1"/>
  <c r="P192" i="1"/>
  <c r="O192" i="1"/>
  <c r="M192" i="1"/>
  <c r="L192" i="1"/>
  <c r="K192" i="1"/>
  <c r="J192" i="1"/>
  <c r="G192" i="1"/>
  <c r="E192" i="1"/>
  <c r="A192" i="1"/>
  <c r="Q191" i="1"/>
  <c r="P191" i="1"/>
  <c r="O191" i="1"/>
  <c r="M191" i="1"/>
  <c r="L191" i="1"/>
  <c r="K191" i="1"/>
  <c r="J191" i="1"/>
  <c r="G191" i="1"/>
  <c r="E191" i="1"/>
  <c r="A191" i="1"/>
  <c r="Q190" i="1"/>
  <c r="P190" i="1"/>
  <c r="O190" i="1"/>
  <c r="M190" i="1"/>
  <c r="L190" i="1"/>
  <c r="K190" i="1"/>
  <c r="J190" i="1"/>
  <c r="G190" i="1"/>
  <c r="E190" i="1"/>
  <c r="A190" i="1"/>
  <c r="G189" i="1"/>
  <c r="E189" i="1"/>
  <c r="A189" i="1"/>
  <c r="Q188" i="1"/>
  <c r="P188" i="1"/>
  <c r="O188" i="1"/>
  <c r="M188" i="1"/>
  <c r="L188" i="1"/>
  <c r="K188" i="1"/>
  <c r="J188" i="1"/>
  <c r="G188" i="1"/>
  <c r="E188" i="1"/>
  <c r="A188" i="1"/>
  <c r="A187" i="1"/>
  <c r="A186" i="1"/>
  <c r="Q185" i="1"/>
  <c r="P185" i="1"/>
  <c r="O185" i="1"/>
  <c r="M185" i="1"/>
  <c r="L185" i="1"/>
  <c r="K185" i="1"/>
  <c r="J185" i="1"/>
  <c r="G185" i="1"/>
  <c r="E185" i="1"/>
  <c r="A185" i="1"/>
  <c r="Q184" i="1"/>
  <c r="P184" i="1"/>
  <c r="O184" i="1"/>
  <c r="M184" i="1"/>
  <c r="L184" i="1"/>
  <c r="K184" i="1"/>
  <c r="J184" i="1"/>
  <c r="G184" i="1"/>
  <c r="E184" i="1"/>
  <c r="A184" i="1"/>
  <c r="Q183" i="1"/>
  <c r="P183" i="1"/>
  <c r="O183" i="1"/>
  <c r="M183" i="1"/>
  <c r="L183" i="1"/>
  <c r="K183" i="1"/>
  <c r="J183" i="1"/>
  <c r="G183" i="1"/>
  <c r="E183" i="1"/>
  <c r="A183" i="1"/>
  <c r="Q182" i="1"/>
  <c r="P182" i="1"/>
  <c r="O182" i="1"/>
  <c r="M182" i="1"/>
  <c r="L182" i="1"/>
  <c r="K182" i="1"/>
  <c r="J182" i="1"/>
  <c r="G182" i="1"/>
  <c r="E182" i="1"/>
  <c r="A182" i="1"/>
  <c r="Q181" i="1"/>
  <c r="P181" i="1"/>
  <c r="O181" i="1"/>
  <c r="M181" i="1"/>
  <c r="L181" i="1"/>
  <c r="K181" i="1"/>
  <c r="J181" i="1"/>
  <c r="G181" i="1"/>
  <c r="E181" i="1"/>
  <c r="A181" i="1"/>
  <c r="Q180" i="1"/>
  <c r="P180" i="1"/>
  <c r="O180" i="1"/>
  <c r="M180" i="1"/>
  <c r="L180" i="1"/>
  <c r="K180" i="1"/>
  <c r="J180" i="1"/>
  <c r="G180" i="1"/>
  <c r="E180" i="1"/>
  <c r="A180" i="1"/>
  <c r="Q179" i="1"/>
  <c r="P179" i="1"/>
  <c r="O179" i="1"/>
  <c r="M179" i="1"/>
  <c r="L179" i="1"/>
  <c r="K179" i="1"/>
  <c r="J179" i="1"/>
  <c r="G179" i="1"/>
  <c r="E179" i="1"/>
  <c r="A179" i="1"/>
  <c r="G178" i="1"/>
  <c r="E178" i="1"/>
  <c r="A178" i="1"/>
  <c r="Q177" i="1"/>
  <c r="P177" i="1"/>
  <c r="O177" i="1"/>
  <c r="M177" i="1"/>
  <c r="L177" i="1"/>
  <c r="K177" i="1"/>
  <c r="J177" i="1"/>
  <c r="G177" i="1"/>
  <c r="E177" i="1"/>
  <c r="A177" i="1"/>
  <c r="Q176" i="1"/>
  <c r="P176" i="1"/>
  <c r="O176" i="1"/>
  <c r="M176" i="1"/>
  <c r="L176" i="1"/>
  <c r="K176" i="1"/>
  <c r="J176" i="1"/>
  <c r="G176" i="1"/>
  <c r="E176" i="1"/>
  <c r="A176" i="1"/>
  <c r="Q175" i="1"/>
  <c r="P175" i="1"/>
  <c r="O175" i="1"/>
  <c r="M175" i="1"/>
  <c r="L175" i="1"/>
  <c r="K175" i="1"/>
  <c r="J175" i="1"/>
  <c r="G175" i="1"/>
  <c r="E175" i="1"/>
  <c r="A175" i="1"/>
  <c r="Q174" i="1"/>
  <c r="P174" i="1"/>
  <c r="O174" i="1"/>
  <c r="M174" i="1"/>
  <c r="L174" i="1"/>
  <c r="K174" i="1"/>
  <c r="J174" i="1"/>
  <c r="G174" i="1"/>
  <c r="E174" i="1"/>
  <c r="A174" i="1"/>
  <c r="G173" i="1"/>
  <c r="E173" i="1"/>
  <c r="A173" i="1"/>
  <c r="Q172" i="1"/>
  <c r="P172" i="1"/>
  <c r="O172" i="1"/>
  <c r="M172" i="1"/>
  <c r="L172" i="1"/>
  <c r="K172" i="1"/>
  <c r="J172" i="1"/>
  <c r="G172" i="1"/>
  <c r="E172" i="1"/>
  <c r="A172" i="1"/>
  <c r="A171" i="1"/>
  <c r="A170" i="1"/>
  <c r="Q169" i="1"/>
  <c r="P169" i="1"/>
  <c r="O169" i="1"/>
  <c r="M169" i="1"/>
  <c r="L169" i="1"/>
  <c r="K169" i="1"/>
  <c r="J169" i="1"/>
  <c r="G169" i="1"/>
  <c r="E169" i="1"/>
  <c r="A169" i="1"/>
  <c r="Q168" i="1"/>
  <c r="P168" i="1"/>
  <c r="O168" i="1"/>
  <c r="M168" i="1"/>
  <c r="L168" i="1"/>
  <c r="K168" i="1"/>
  <c r="J168" i="1"/>
  <c r="G168" i="1"/>
  <c r="E168" i="1"/>
  <c r="A168" i="1"/>
  <c r="Q167" i="1"/>
  <c r="P167" i="1"/>
  <c r="O167" i="1"/>
  <c r="M167" i="1"/>
  <c r="L167" i="1"/>
  <c r="K167" i="1"/>
  <c r="J167" i="1"/>
  <c r="G167" i="1"/>
  <c r="E167" i="1"/>
  <c r="A167" i="1"/>
  <c r="Q166" i="1"/>
  <c r="P166" i="1"/>
  <c r="O166" i="1"/>
  <c r="M166" i="1"/>
  <c r="L166" i="1"/>
  <c r="K166" i="1"/>
  <c r="J166" i="1"/>
  <c r="G166" i="1"/>
  <c r="E166" i="1"/>
  <c r="A166" i="1"/>
  <c r="Q165" i="1"/>
  <c r="P165" i="1"/>
  <c r="O165" i="1"/>
  <c r="M165" i="1"/>
  <c r="L165" i="1"/>
  <c r="K165" i="1"/>
  <c r="J165" i="1"/>
  <c r="G165" i="1"/>
  <c r="E165" i="1"/>
  <c r="A165" i="1"/>
  <c r="Q164" i="1"/>
  <c r="P164" i="1"/>
  <c r="O164" i="1"/>
  <c r="M164" i="1"/>
  <c r="L164" i="1"/>
  <c r="K164" i="1"/>
  <c r="J164" i="1"/>
  <c r="G164" i="1"/>
  <c r="E164" i="1"/>
  <c r="A164" i="1"/>
  <c r="Q163" i="1"/>
  <c r="P163" i="1"/>
  <c r="O163" i="1"/>
  <c r="M163" i="1"/>
  <c r="L163" i="1"/>
  <c r="K163" i="1"/>
  <c r="J163" i="1"/>
  <c r="G163" i="1"/>
  <c r="E163" i="1"/>
  <c r="A163" i="1"/>
  <c r="G162" i="1"/>
  <c r="E162" i="1"/>
  <c r="A162" i="1"/>
  <c r="Q161" i="1"/>
  <c r="P161" i="1"/>
  <c r="O161" i="1"/>
  <c r="M161" i="1"/>
  <c r="L161" i="1"/>
  <c r="K161" i="1"/>
  <c r="J161" i="1"/>
  <c r="G161" i="1"/>
  <c r="E161" i="1"/>
  <c r="A161" i="1"/>
  <c r="A160" i="1"/>
  <c r="A159" i="1"/>
  <c r="Q158" i="1"/>
  <c r="P158" i="1"/>
  <c r="O158" i="1"/>
  <c r="M158" i="1"/>
  <c r="L158" i="1"/>
  <c r="K158" i="1"/>
  <c r="J158" i="1"/>
  <c r="G158" i="1"/>
  <c r="E158" i="1"/>
  <c r="A158" i="1"/>
  <c r="Q157" i="1"/>
  <c r="P157" i="1"/>
  <c r="O157" i="1"/>
  <c r="M157" i="1"/>
  <c r="L157" i="1"/>
  <c r="K157" i="1"/>
  <c r="J157" i="1"/>
  <c r="G157" i="1"/>
  <c r="E157" i="1"/>
  <c r="A157" i="1"/>
  <c r="Q156" i="1"/>
  <c r="P156" i="1"/>
  <c r="O156" i="1"/>
  <c r="M156" i="1"/>
  <c r="L156" i="1"/>
  <c r="K156" i="1"/>
  <c r="J156" i="1"/>
  <c r="G156" i="1"/>
  <c r="E156" i="1"/>
  <c r="A156" i="1"/>
  <c r="Q155" i="1"/>
  <c r="P155" i="1"/>
  <c r="O155" i="1"/>
  <c r="M155" i="1"/>
  <c r="L155" i="1"/>
  <c r="K155" i="1"/>
  <c r="J155" i="1"/>
  <c r="G155" i="1"/>
  <c r="E155" i="1"/>
  <c r="A155" i="1"/>
  <c r="Q154" i="1"/>
  <c r="P154" i="1"/>
  <c r="O154" i="1"/>
  <c r="M154" i="1"/>
  <c r="L154" i="1"/>
  <c r="K154" i="1"/>
  <c r="J154" i="1"/>
  <c r="G154" i="1"/>
  <c r="E154" i="1"/>
  <c r="A154" i="1"/>
  <c r="Q153" i="1"/>
  <c r="P153" i="1"/>
  <c r="O153" i="1"/>
  <c r="M153" i="1"/>
  <c r="L153" i="1"/>
  <c r="K153" i="1"/>
  <c r="J153" i="1"/>
  <c r="G153" i="1"/>
  <c r="E153" i="1"/>
  <c r="A153" i="1"/>
  <c r="Q152" i="1"/>
  <c r="P152" i="1"/>
  <c r="O152" i="1"/>
  <c r="M152" i="1"/>
  <c r="L152" i="1"/>
  <c r="K152" i="1"/>
  <c r="J152" i="1"/>
  <c r="G152" i="1"/>
  <c r="E152" i="1"/>
  <c r="A152" i="1"/>
  <c r="G151" i="1"/>
  <c r="E151" i="1"/>
  <c r="A151" i="1"/>
  <c r="Q150" i="1"/>
  <c r="P150" i="1"/>
  <c r="O150" i="1"/>
  <c r="M150" i="1"/>
  <c r="L150" i="1"/>
  <c r="K150" i="1"/>
  <c r="J150" i="1"/>
  <c r="G150" i="1"/>
  <c r="E150" i="1"/>
  <c r="A150" i="1"/>
  <c r="Q149" i="1"/>
  <c r="P149" i="1"/>
  <c r="O149" i="1"/>
  <c r="M149" i="1"/>
  <c r="L149" i="1"/>
  <c r="K149" i="1"/>
  <c r="J149" i="1"/>
  <c r="G149" i="1"/>
  <c r="E149" i="1"/>
  <c r="A149" i="1"/>
  <c r="Q148" i="1"/>
  <c r="P148" i="1"/>
  <c r="O148" i="1"/>
  <c r="M148" i="1"/>
  <c r="L148" i="1"/>
  <c r="K148" i="1"/>
  <c r="J148" i="1"/>
  <c r="G148" i="1"/>
  <c r="E148" i="1"/>
  <c r="A148" i="1"/>
  <c r="Q147" i="1"/>
  <c r="P147" i="1"/>
  <c r="O147" i="1"/>
  <c r="M147" i="1"/>
  <c r="L147" i="1"/>
  <c r="K147" i="1"/>
  <c r="J147" i="1"/>
  <c r="G147" i="1"/>
  <c r="E147" i="1"/>
  <c r="A147" i="1"/>
  <c r="G146" i="1"/>
  <c r="E146" i="1"/>
  <c r="A146" i="1"/>
  <c r="Q145" i="1"/>
  <c r="P145" i="1"/>
  <c r="O145" i="1"/>
  <c r="M145" i="1"/>
  <c r="L145" i="1"/>
  <c r="K145" i="1"/>
  <c r="J145" i="1"/>
  <c r="G145" i="1"/>
  <c r="E145" i="1"/>
  <c r="A145" i="1"/>
  <c r="A144" i="1"/>
  <c r="A143" i="1"/>
  <c r="A142" i="1"/>
  <c r="A141" i="1"/>
  <c r="A140" i="1"/>
  <c r="Q139" i="1"/>
  <c r="A139" i="1"/>
  <c r="A138" i="1"/>
  <c r="Q137" i="1"/>
  <c r="P137" i="1"/>
  <c r="O137" i="1"/>
  <c r="N137" i="1"/>
  <c r="M137" i="1"/>
  <c r="L137" i="1"/>
  <c r="K137" i="1"/>
  <c r="J137" i="1"/>
  <c r="I137" i="1"/>
  <c r="G137" i="1"/>
  <c r="A137" i="1"/>
  <c r="Q136" i="1"/>
  <c r="P136" i="1"/>
  <c r="O136" i="1"/>
  <c r="N136" i="1"/>
  <c r="M136" i="1"/>
  <c r="L136" i="1"/>
  <c r="K136" i="1"/>
  <c r="J136" i="1"/>
  <c r="I136" i="1"/>
  <c r="G136" i="1"/>
  <c r="A136" i="1"/>
  <c r="Q135" i="1"/>
  <c r="P135" i="1"/>
  <c r="O135" i="1"/>
  <c r="N135" i="1"/>
  <c r="M135" i="1"/>
  <c r="L135" i="1"/>
  <c r="K135" i="1"/>
  <c r="J135" i="1"/>
  <c r="I135" i="1"/>
  <c r="G135" i="1"/>
  <c r="A135" i="1"/>
  <c r="Q134" i="1"/>
  <c r="P134" i="1"/>
  <c r="O134" i="1"/>
  <c r="N134" i="1"/>
  <c r="M134" i="1"/>
  <c r="L134" i="1"/>
  <c r="K134" i="1"/>
  <c r="J134" i="1"/>
  <c r="I134" i="1"/>
  <c r="G134" i="1"/>
  <c r="A134" i="1"/>
  <c r="Q133" i="1"/>
  <c r="P133" i="1"/>
  <c r="O133" i="1"/>
  <c r="N133" i="1"/>
  <c r="M133" i="1"/>
  <c r="L133" i="1"/>
  <c r="K133" i="1"/>
  <c r="J133" i="1"/>
  <c r="I133" i="1"/>
  <c r="G133" i="1"/>
  <c r="A133" i="1"/>
  <c r="Q132" i="1"/>
  <c r="P132" i="1"/>
  <c r="O132" i="1"/>
  <c r="N132" i="1"/>
  <c r="M132" i="1"/>
  <c r="L132" i="1"/>
  <c r="K132" i="1"/>
  <c r="J132" i="1"/>
  <c r="I132" i="1"/>
  <c r="G132" i="1"/>
  <c r="A132" i="1"/>
  <c r="Q131" i="1"/>
  <c r="P131" i="1"/>
  <c r="O131" i="1"/>
  <c r="N131" i="1"/>
  <c r="M131" i="1"/>
  <c r="L131" i="1"/>
  <c r="K131" i="1"/>
  <c r="J131" i="1"/>
  <c r="I131" i="1"/>
  <c r="G131" i="1"/>
  <c r="A131" i="1"/>
  <c r="Q130" i="1"/>
  <c r="P130" i="1"/>
  <c r="O130" i="1"/>
  <c r="N130" i="1"/>
  <c r="M130" i="1"/>
  <c r="L130" i="1"/>
  <c r="K130" i="1"/>
  <c r="J130" i="1"/>
  <c r="I130" i="1"/>
  <c r="G130" i="1"/>
  <c r="A130" i="1"/>
  <c r="A129" i="1"/>
  <c r="A128" i="1"/>
  <c r="Q127" i="1"/>
  <c r="P127" i="1"/>
  <c r="O127" i="1"/>
  <c r="M127" i="1"/>
  <c r="L127" i="1"/>
  <c r="K127" i="1"/>
  <c r="J127" i="1"/>
  <c r="G127" i="1"/>
  <c r="E127" i="1"/>
  <c r="A127" i="1"/>
  <c r="A126" i="1"/>
  <c r="A125" i="1"/>
  <c r="Q124" i="1"/>
  <c r="P124" i="1"/>
  <c r="O124" i="1"/>
  <c r="N124" i="1"/>
  <c r="M124" i="1"/>
  <c r="L124" i="1"/>
  <c r="K124" i="1"/>
  <c r="J124" i="1"/>
  <c r="I124" i="1"/>
  <c r="G124" i="1"/>
  <c r="A124" i="1"/>
  <c r="Q123" i="1"/>
  <c r="P123" i="1"/>
  <c r="O123" i="1"/>
  <c r="N123" i="1"/>
  <c r="M123" i="1"/>
  <c r="L123" i="1"/>
  <c r="K123" i="1"/>
  <c r="J123" i="1"/>
  <c r="I123" i="1"/>
  <c r="G123" i="1"/>
  <c r="A123" i="1"/>
  <c r="Q122" i="1"/>
  <c r="P122" i="1"/>
  <c r="O122" i="1"/>
  <c r="N122" i="1"/>
  <c r="M122" i="1"/>
  <c r="L122" i="1"/>
  <c r="K122" i="1"/>
  <c r="J122" i="1"/>
  <c r="I122" i="1"/>
  <c r="G122" i="1"/>
  <c r="A122" i="1"/>
  <c r="A121" i="1"/>
  <c r="A120" i="1"/>
  <c r="A119" i="1"/>
  <c r="Q118" i="1"/>
  <c r="A118" i="1"/>
  <c r="A117" i="1"/>
  <c r="Q116" i="1"/>
  <c r="P116" i="1"/>
  <c r="O116" i="1"/>
  <c r="M116" i="1"/>
  <c r="L116" i="1"/>
  <c r="K116" i="1"/>
  <c r="J116" i="1"/>
  <c r="G116" i="1"/>
  <c r="A116" i="1"/>
  <c r="A115" i="1"/>
  <c r="Q114" i="1"/>
  <c r="P114" i="1"/>
  <c r="O114" i="1"/>
  <c r="M114" i="1"/>
  <c r="L114" i="1"/>
  <c r="K114" i="1"/>
  <c r="J114" i="1"/>
  <c r="G114" i="1"/>
  <c r="A114" i="1"/>
  <c r="Q113" i="1"/>
  <c r="P113" i="1"/>
  <c r="O113" i="1"/>
  <c r="M113" i="1"/>
  <c r="L113" i="1"/>
  <c r="K113" i="1"/>
  <c r="J113" i="1"/>
  <c r="G113" i="1"/>
  <c r="A113" i="1"/>
  <c r="Q112" i="1"/>
  <c r="P112" i="1"/>
  <c r="O112" i="1"/>
  <c r="M112" i="1"/>
  <c r="L112" i="1"/>
  <c r="K112" i="1"/>
  <c r="J112" i="1"/>
  <c r="G112" i="1"/>
  <c r="A112" i="1"/>
  <c r="Q111" i="1"/>
  <c r="P111" i="1"/>
  <c r="O111" i="1"/>
  <c r="M111" i="1"/>
  <c r="L111" i="1"/>
  <c r="K111" i="1"/>
  <c r="J111" i="1"/>
  <c r="G111" i="1"/>
  <c r="A111" i="1"/>
  <c r="A110" i="1"/>
  <c r="A109" i="1"/>
  <c r="A108" i="1"/>
  <c r="A107" i="1"/>
  <c r="Q106" i="1"/>
  <c r="A106" i="1"/>
  <c r="A105" i="1"/>
  <c r="Q104" i="1"/>
  <c r="P104" i="1"/>
  <c r="O104" i="1"/>
  <c r="M104" i="1"/>
  <c r="L104" i="1"/>
  <c r="K104" i="1"/>
  <c r="J104" i="1"/>
  <c r="G104" i="1"/>
  <c r="A104" i="1"/>
  <c r="Q103" i="1"/>
  <c r="P103" i="1"/>
  <c r="O103" i="1"/>
  <c r="M103" i="1"/>
  <c r="L103" i="1"/>
  <c r="K103" i="1"/>
  <c r="J103" i="1"/>
  <c r="G103" i="1"/>
  <c r="A103" i="1"/>
  <c r="Q102" i="1"/>
  <c r="P102" i="1"/>
  <c r="O102" i="1"/>
  <c r="M102" i="1"/>
  <c r="L102" i="1"/>
  <c r="K102" i="1"/>
  <c r="J102" i="1"/>
  <c r="G102" i="1"/>
  <c r="A102" i="1"/>
  <c r="Q101" i="1"/>
  <c r="P101" i="1"/>
  <c r="O101" i="1"/>
  <c r="M101" i="1"/>
  <c r="L101" i="1"/>
  <c r="K101" i="1"/>
  <c r="J101" i="1"/>
  <c r="G101" i="1"/>
  <c r="A101" i="1"/>
  <c r="A100" i="1"/>
  <c r="A99" i="1"/>
  <c r="A98" i="1"/>
  <c r="Q97" i="1"/>
  <c r="A97" i="1"/>
  <c r="A96" i="1"/>
  <c r="Q95" i="1"/>
  <c r="P95" i="1"/>
  <c r="O95" i="1"/>
  <c r="M95" i="1"/>
  <c r="L95" i="1"/>
  <c r="K95" i="1"/>
  <c r="J95" i="1"/>
  <c r="G95" i="1"/>
  <c r="E95" i="1"/>
  <c r="A95" i="1"/>
  <c r="Q94" i="1"/>
  <c r="P94" i="1"/>
  <c r="O94" i="1"/>
  <c r="M94" i="1"/>
  <c r="L94" i="1"/>
  <c r="K94" i="1"/>
  <c r="J94" i="1"/>
  <c r="G94" i="1"/>
  <c r="E94" i="1"/>
  <c r="A94" i="1"/>
  <c r="Q93" i="1"/>
  <c r="P93" i="1"/>
  <c r="O93" i="1"/>
  <c r="M93" i="1"/>
  <c r="L93" i="1"/>
  <c r="K93" i="1"/>
  <c r="J93" i="1"/>
  <c r="G93" i="1"/>
  <c r="E93" i="1"/>
  <c r="A93" i="1"/>
  <c r="A92" i="1"/>
  <c r="A91" i="1"/>
  <c r="Q90" i="1"/>
  <c r="P90" i="1"/>
  <c r="O90" i="1"/>
  <c r="M90" i="1"/>
  <c r="L90" i="1"/>
  <c r="K90" i="1"/>
  <c r="J90" i="1"/>
  <c r="G90" i="1"/>
  <c r="E90" i="1"/>
  <c r="A90" i="1"/>
  <c r="A89" i="1"/>
  <c r="A88" i="1"/>
  <c r="Q87" i="1"/>
  <c r="P87" i="1"/>
  <c r="O87" i="1"/>
  <c r="M87" i="1"/>
  <c r="L87" i="1"/>
  <c r="K87" i="1"/>
  <c r="J87" i="1"/>
  <c r="G87" i="1"/>
  <c r="E87" i="1"/>
  <c r="A87" i="1"/>
  <c r="A86" i="1"/>
  <c r="A85" i="1"/>
  <c r="A84" i="1"/>
  <c r="A83" i="1"/>
  <c r="Q82" i="1"/>
  <c r="A82" i="1"/>
  <c r="A81" i="1"/>
  <c r="Q80" i="1"/>
  <c r="P80" i="1"/>
  <c r="O80" i="1"/>
  <c r="N80" i="1"/>
  <c r="M80" i="1"/>
  <c r="L80" i="1"/>
  <c r="K80" i="1"/>
  <c r="J80" i="1"/>
  <c r="G80" i="1"/>
  <c r="A80" i="1"/>
  <c r="A79" i="1"/>
  <c r="A78" i="1"/>
  <c r="Q77" i="1"/>
  <c r="P77" i="1"/>
  <c r="O77" i="1"/>
  <c r="M77" i="1"/>
  <c r="L77" i="1"/>
  <c r="K77" i="1"/>
  <c r="J77" i="1"/>
  <c r="I77" i="1"/>
  <c r="G77" i="1"/>
  <c r="A77" i="1"/>
  <c r="A76" i="1"/>
  <c r="A75" i="1"/>
  <c r="Q74" i="1"/>
  <c r="P74" i="1"/>
  <c r="O74" i="1"/>
  <c r="M74" i="1"/>
  <c r="L74" i="1"/>
  <c r="K74" i="1"/>
  <c r="J74" i="1"/>
  <c r="G74" i="1"/>
  <c r="A74" i="1"/>
  <c r="Q73" i="1"/>
  <c r="P73" i="1"/>
  <c r="O73" i="1"/>
  <c r="M73" i="1"/>
  <c r="L73" i="1"/>
  <c r="K73" i="1"/>
  <c r="J73" i="1"/>
  <c r="G73" i="1"/>
  <c r="A73" i="1"/>
  <c r="Q72" i="1"/>
  <c r="P72" i="1"/>
  <c r="O72" i="1"/>
  <c r="M72" i="1"/>
  <c r="L72" i="1"/>
  <c r="K72" i="1"/>
  <c r="J72" i="1"/>
  <c r="G72" i="1"/>
  <c r="A72" i="1"/>
  <c r="Q71" i="1"/>
  <c r="P71" i="1"/>
  <c r="O71" i="1"/>
  <c r="M71" i="1"/>
  <c r="L71" i="1"/>
  <c r="K71" i="1"/>
  <c r="J71" i="1"/>
  <c r="G71" i="1"/>
  <c r="A71" i="1"/>
  <c r="Q70" i="1"/>
  <c r="P70" i="1"/>
  <c r="O70" i="1"/>
  <c r="M70" i="1"/>
  <c r="L70" i="1"/>
  <c r="K70" i="1"/>
  <c r="J70" i="1"/>
  <c r="G70" i="1"/>
  <c r="A70" i="1"/>
  <c r="Q69" i="1"/>
  <c r="P69" i="1"/>
  <c r="O69" i="1"/>
  <c r="M69" i="1"/>
  <c r="L69" i="1"/>
  <c r="K69" i="1"/>
  <c r="J69" i="1"/>
  <c r="G69" i="1"/>
  <c r="A69" i="1"/>
  <c r="Q68" i="1"/>
  <c r="P68" i="1"/>
  <c r="O68" i="1"/>
  <c r="M68" i="1"/>
  <c r="L68" i="1"/>
  <c r="K68" i="1"/>
  <c r="J68" i="1"/>
  <c r="G68" i="1"/>
  <c r="A68" i="1"/>
  <c r="Q67" i="1"/>
  <c r="P67" i="1"/>
  <c r="O67" i="1"/>
  <c r="M67" i="1"/>
  <c r="L67" i="1"/>
  <c r="K67" i="1"/>
  <c r="J67" i="1"/>
  <c r="G67" i="1"/>
  <c r="A67" i="1"/>
  <c r="Q66" i="1"/>
  <c r="P66" i="1"/>
  <c r="O66" i="1"/>
  <c r="M66" i="1"/>
  <c r="L66" i="1"/>
  <c r="K66" i="1"/>
  <c r="J66" i="1"/>
  <c r="G66" i="1"/>
  <c r="A66" i="1"/>
  <c r="Q65" i="1"/>
  <c r="P65" i="1"/>
  <c r="O65" i="1"/>
  <c r="M65" i="1"/>
  <c r="L65" i="1"/>
  <c r="K65" i="1"/>
  <c r="J65" i="1"/>
  <c r="G65" i="1"/>
  <c r="A65" i="1"/>
  <c r="Q64" i="1"/>
  <c r="P64" i="1"/>
  <c r="O64" i="1"/>
  <c r="M64" i="1"/>
  <c r="L64" i="1"/>
  <c r="K64" i="1"/>
  <c r="J64" i="1"/>
  <c r="G64" i="1"/>
  <c r="A64" i="1"/>
  <c r="Q63" i="1"/>
  <c r="P63" i="1"/>
  <c r="O63" i="1"/>
  <c r="M63" i="1"/>
  <c r="L63" i="1"/>
  <c r="K63" i="1"/>
  <c r="J63" i="1"/>
  <c r="G63" i="1"/>
  <c r="A63" i="1"/>
  <c r="Q62" i="1"/>
  <c r="P62" i="1"/>
  <c r="O62" i="1"/>
  <c r="M62" i="1"/>
  <c r="L62" i="1"/>
  <c r="K62" i="1"/>
  <c r="J62" i="1"/>
  <c r="G62" i="1"/>
  <c r="A62" i="1"/>
  <c r="Q61" i="1"/>
  <c r="P61" i="1"/>
  <c r="O61" i="1"/>
  <c r="M61" i="1"/>
  <c r="L61" i="1"/>
  <c r="K61" i="1"/>
  <c r="J61" i="1"/>
  <c r="G61" i="1"/>
  <c r="A61" i="1"/>
  <c r="Q60" i="1"/>
  <c r="P60" i="1"/>
  <c r="O60" i="1"/>
  <c r="M60" i="1"/>
  <c r="L60" i="1"/>
  <c r="K60" i="1"/>
  <c r="J60" i="1"/>
  <c r="G60" i="1"/>
  <c r="A60" i="1"/>
  <c r="Q59" i="1"/>
  <c r="P59" i="1"/>
  <c r="O59" i="1"/>
  <c r="M59" i="1"/>
  <c r="L59" i="1"/>
  <c r="K59" i="1"/>
  <c r="J59" i="1"/>
  <c r="G59" i="1"/>
  <c r="A59" i="1"/>
  <c r="Q58" i="1"/>
  <c r="P58" i="1"/>
  <c r="O58" i="1"/>
  <c r="M58" i="1"/>
  <c r="L58" i="1"/>
  <c r="K58" i="1"/>
  <c r="J58" i="1"/>
  <c r="G58" i="1"/>
  <c r="A58" i="1"/>
  <c r="Q57" i="1"/>
  <c r="P57" i="1"/>
  <c r="O57" i="1"/>
  <c r="M57" i="1"/>
  <c r="L57" i="1"/>
  <c r="K57" i="1"/>
  <c r="J57" i="1"/>
  <c r="G57" i="1"/>
  <c r="A57" i="1"/>
  <c r="Q56" i="1"/>
  <c r="P56" i="1"/>
  <c r="O56" i="1"/>
  <c r="M56" i="1"/>
  <c r="L56" i="1"/>
  <c r="K56" i="1"/>
  <c r="J56" i="1"/>
  <c r="G56" i="1"/>
  <c r="A56" i="1"/>
  <c r="Q55" i="1"/>
  <c r="P55" i="1"/>
  <c r="O55" i="1"/>
  <c r="M55" i="1"/>
  <c r="L55" i="1"/>
  <c r="K55" i="1"/>
  <c r="J55" i="1"/>
  <c r="G55" i="1"/>
  <c r="A55" i="1"/>
  <c r="Q54" i="1"/>
  <c r="P54" i="1"/>
  <c r="O54" i="1"/>
  <c r="M54" i="1"/>
  <c r="L54" i="1"/>
  <c r="K54" i="1"/>
  <c r="J54" i="1"/>
  <c r="G54" i="1"/>
  <c r="A54" i="1"/>
  <c r="Q53" i="1"/>
  <c r="P53" i="1"/>
  <c r="O53" i="1"/>
  <c r="M53" i="1"/>
  <c r="L53" i="1"/>
  <c r="K53" i="1"/>
  <c r="J53" i="1"/>
  <c r="G53" i="1"/>
  <c r="A53" i="1"/>
  <c r="Q52" i="1"/>
  <c r="P52" i="1"/>
  <c r="O52" i="1"/>
  <c r="M52" i="1"/>
  <c r="L52" i="1"/>
  <c r="K52" i="1"/>
  <c r="J52" i="1"/>
  <c r="G52" i="1"/>
  <c r="A52" i="1"/>
  <c r="Q51" i="1"/>
  <c r="P51" i="1"/>
  <c r="O51" i="1"/>
  <c r="M51" i="1"/>
  <c r="L51" i="1"/>
  <c r="K51" i="1"/>
  <c r="J51" i="1"/>
  <c r="G51" i="1"/>
  <c r="A51" i="1"/>
  <c r="Q50" i="1"/>
  <c r="P50" i="1"/>
  <c r="O50" i="1"/>
  <c r="M50" i="1"/>
  <c r="L50" i="1"/>
  <c r="K50" i="1"/>
  <c r="J50" i="1"/>
  <c r="G50" i="1"/>
  <c r="A50" i="1"/>
  <c r="Q49" i="1"/>
  <c r="P49" i="1"/>
  <c r="O49" i="1"/>
  <c r="M49" i="1"/>
  <c r="L49" i="1"/>
  <c r="K49" i="1"/>
  <c r="J49" i="1"/>
  <c r="G49" i="1"/>
  <c r="A49" i="1"/>
  <c r="Q48" i="1"/>
  <c r="P48" i="1"/>
  <c r="O48" i="1"/>
  <c r="M48" i="1"/>
  <c r="L48" i="1"/>
  <c r="K48" i="1"/>
  <c r="J48" i="1"/>
  <c r="G48" i="1"/>
  <c r="A48" i="1"/>
  <c r="Q47" i="1"/>
  <c r="P47" i="1"/>
  <c r="O47" i="1"/>
  <c r="M47" i="1"/>
  <c r="L47" i="1"/>
  <c r="K47" i="1"/>
  <c r="J47" i="1"/>
  <c r="G47" i="1"/>
  <c r="A47" i="1"/>
  <c r="Q46" i="1"/>
  <c r="P46" i="1"/>
  <c r="O46" i="1"/>
  <c r="M46" i="1"/>
  <c r="L46" i="1"/>
  <c r="K46" i="1"/>
  <c r="J46" i="1"/>
  <c r="G46" i="1"/>
  <c r="A46" i="1"/>
  <c r="Q45" i="1"/>
  <c r="P45" i="1"/>
  <c r="O45" i="1"/>
  <c r="M45" i="1"/>
  <c r="L45" i="1"/>
  <c r="K45" i="1"/>
  <c r="J45" i="1"/>
  <c r="G45" i="1"/>
  <c r="A45" i="1"/>
  <c r="Q44" i="1"/>
  <c r="P44" i="1"/>
  <c r="O44" i="1"/>
  <c r="M44" i="1"/>
  <c r="L44" i="1"/>
  <c r="K44" i="1"/>
  <c r="J44" i="1"/>
  <c r="G44" i="1"/>
  <c r="A44" i="1"/>
  <c r="Q43" i="1"/>
  <c r="P43" i="1"/>
  <c r="O43" i="1"/>
  <c r="M43" i="1"/>
  <c r="L43" i="1"/>
  <c r="K43" i="1"/>
  <c r="J43" i="1"/>
  <c r="G43" i="1"/>
  <c r="A43" i="1"/>
  <c r="Q42" i="1"/>
  <c r="P42" i="1"/>
  <c r="O42" i="1"/>
  <c r="M42" i="1"/>
  <c r="L42" i="1"/>
  <c r="K42" i="1"/>
  <c r="J42" i="1"/>
  <c r="G42" i="1"/>
  <c r="A42" i="1"/>
  <c r="Q41" i="1"/>
  <c r="P41" i="1"/>
  <c r="O41" i="1"/>
  <c r="M41" i="1"/>
  <c r="L41" i="1"/>
  <c r="K41" i="1"/>
  <c r="J41" i="1"/>
  <c r="G41" i="1"/>
  <c r="A41" i="1"/>
  <c r="Q40" i="1"/>
  <c r="P40" i="1"/>
  <c r="O40" i="1"/>
  <c r="M40" i="1"/>
  <c r="L40" i="1"/>
  <c r="K40" i="1"/>
  <c r="J40" i="1"/>
  <c r="G40" i="1"/>
  <c r="A40" i="1"/>
  <c r="Q39" i="1"/>
  <c r="P39" i="1"/>
  <c r="O39" i="1"/>
  <c r="M39" i="1"/>
  <c r="L39" i="1"/>
  <c r="K39" i="1"/>
  <c r="J39" i="1"/>
  <c r="G39" i="1"/>
  <c r="A39" i="1"/>
  <c r="Q38" i="1"/>
  <c r="P38" i="1"/>
  <c r="O38" i="1"/>
  <c r="M38" i="1"/>
  <c r="L38" i="1"/>
  <c r="K38" i="1"/>
  <c r="J38" i="1"/>
  <c r="G38" i="1"/>
  <c r="A38" i="1"/>
  <c r="Q37" i="1"/>
  <c r="P37" i="1"/>
  <c r="O37" i="1"/>
  <c r="M37" i="1"/>
  <c r="L37" i="1"/>
  <c r="K37" i="1"/>
  <c r="J37" i="1"/>
  <c r="G37" i="1"/>
  <c r="A37" i="1"/>
  <c r="Q36" i="1"/>
  <c r="P36" i="1"/>
  <c r="O36" i="1"/>
  <c r="M36" i="1"/>
  <c r="L36" i="1"/>
  <c r="K36" i="1"/>
  <c r="J36" i="1"/>
  <c r="G36" i="1"/>
  <c r="A36" i="1"/>
  <c r="Q35" i="1"/>
  <c r="P35" i="1"/>
  <c r="O35" i="1"/>
  <c r="M35" i="1"/>
  <c r="L35" i="1"/>
  <c r="K35" i="1"/>
  <c r="J35" i="1"/>
  <c r="G35" i="1"/>
  <c r="A35" i="1"/>
  <c r="Q34" i="1"/>
  <c r="P34" i="1"/>
  <c r="O34" i="1"/>
  <c r="M34" i="1"/>
  <c r="L34" i="1"/>
  <c r="K34" i="1"/>
  <c r="J34" i="1"/>
  <c r="G34" i="1"/>
  <c r="A34" i="1"/>
  <c r="Q33" i="1"/>
  <c r="P33" i="1"/>
  <c r="O33" i="1"/>
  <c r="M33" i="1"/>
  <c r="L33" i="1"/>
  <c r="K33" i="1"/>
  <c r="J33" i="1"/>
  <c r="G33" i="1"/>
  <c r="A33" i="1"/>
  <c r="Q32" i="1"/>
  <c r="P32" i="1"/>
  <c r="O32" i="1"/>
  <c r="M32" i="1"/>
  <c r="L32" i="1"/>
  <c r="K32" i="1"/>
  <c r="J32" i="1"/>
  <c r="G32" i="1"/>
  <c r="A32" i="1"/>
  <c r="Q31" i="1"/>
  <c r="P31" i="1"/>
  <c r="O31" i="1"/>
  <c r="M31" i="1"/>
  <c r="L31" i="1"/>
  <c r="K31" i="1"/>
  <c r="J31" i="1"/>
  <c r="G31" i="1"/>
  <c r="A31" i="1"/>
  <c r="Q30" i="1"/>
  <c r="P30" i="1"/>
  <c r="O30" i="1"/>
  <c r="M30" i="1"/>
  <c r="L30" i="1"/>
  <c r="K30" i="1"/>
  <c r="J30" i="1"/>
  <c r="G30" i="1"/>
  <c r="A30" i="1"/>
  <c r="Q29" i="1"/>
  <c r="P29" i="1"/>
  <c r="O29" i="1"/>
  <c r="M29" i="1"/>
  <c r="L29" i="1"/>
  <c r="K29" i="1"/>
  <c r="J29" i="1"/>
  <c r="G29" i="1"/>
  <c r="A29" i="1"/>
  <c r="Q28" i="1"/>
  <c r="P28" i="1"/>
  <c r="O28" i="1"/>
  <c r="M28" i="1"/>
  <c r="L28" i="1"/>
  <c r="K28" i="1"/>
  <c r="J28" i="1"/>
  <c r="G28" i="1"/>
  <c r="A28" i="1"/>
  <c r="Q27" i="1"/>
  <c r="P27" i="1"/>
  <c r="O27" i="1"/>
  <c r="M27" i="1"/>
  <c r="L27" i="1"/>
  <c r="K27" i="1"/>
  <c r="J27" i="1"/>
  <c r="G27" i="1"/>
  <c r="A27" i="1"/>
  <c r="Q26" i="1"/>
  <c r="P26" i="1"/>
  <c r="O26" i="1"/>
  <c r="M26" i="1"/>
  <c r="L26" i="1"/>
  <c r="K26" i="1"/>
  <c r="J26" i="1"/>
  <c r="G26" i="1"/>
  <c r="A26" i="1"/>
  <c r="Q25" i="1"/>
  <c r="P25" i="1"/>
  <c r="O25" i="1"/>
  <c r="M25" i="1"/>
  <c r="L25" i="1"/>
  <c r="K25" i="1"/>
  <c r="J25" i="1"/>
  <c r="G25" i="1"/>
  <c r="A25" i="1"/>
  <c r="Q24" i="1"/>
  <c r="P24" i="1"/>
  <c r="O24" i="1"/>
  <c r="M24" i="1"/>
  <c r="L24" i="1"/>
  <c r="K24" i="1"/>
  <c r="J24" i="1"/>
  <c r="G24" i="1"/>
  <c r="A24" i="1"/>
  <c r="Q23" i="1"/>
  <c r="P23" i="1"/>
  <c r="O23" i="1"/>
  <c r="M23" i="1"/>
  <c r="L23" i="1"/>
  <c r="K23" i="1"/>
  <c r="J23" i="1"/>
  <c r="G23" i="1"/>
  <c r="A23" i="1"/>
  <c r="Q22" i="1"/>
  <c r="P22" i="1"/>
  <c r="O22" i="1"/>
  <c r="M22" i="1"/>
  <c r="L22" i="1"/>
  <c r="K22" i="1"/>
  <c r="J22" i="1"/>
  <c r="G22" i="1"/>
  <c r="A22" i="1"/>
  <c r="Q21" i="1"/>
  <c r="P21" i="1"/>
  <c r="O21" i="1"/>
  <c r="M21" i="1"/>
  <c r="L21" i="1"/>
  <c r="K21" i="1"/>
  <c r="J21" i="1"/>
  <c r="G21" i="1"/>
  <c r="A21" i="1"/>
  <c r="Q20" i="1"/>
  <c r="P20" i="1"/>
  <c r="O20" i="1"/>
  <c r="M20" i="1"/>
  <c r="L20" i="1"/>
  <c r="K20" i="1"/>
  <c r="J20" i="1"/>
  <c r="G20" i="1"/>
  <c r="A20" i="1"/>
  <c r="A19" i="1"/>
  <c r="A18" i="1"/>
  <c r="A17" i="1"/>
  <c r="Q16" i="1"/>
  <c r="A16" i="1"/>
  <c r="A15" i="1"/>
  <c r="P14" i="1"/>
  <c r="O14" i="1"/>
  <c r="M14" i="1"/>
  <c r="L14" i="1"/>
  <c r="J14" i="1"/>
  <c r="G14" i="1"/>
  <c r="A14" i="1"/>
  <c r="P13" i="1"/>
  <c r="O13" i="1"/>
  <c r="M13" i="1"/>
  <c r="L13" i="1"/>
  <c r="J13" i="1"/>
  <c r="G13" i="1"/>
  <c r="A13" i="1"/>
  <c r="P12" i="1"/>
  <c r="O12" i="1"/>
  <c r="M12" i="1"/>
  <c r="L12" i="1"/>
  <c r="J12" i="1"/>
  <c r="G12" i="1"/>
  <c r="A12" i="1"/>
  <c r="P11" i="1"/>
  <c r="O11" i="1"/>
  <c r="M11" i="1"/>
  <c r="L11" i="1"/>
  <c r="J11" i="1"/>
  <c r="G11" i="1"/>
  <c r="A11" i="1"/>
  <c r="P10" i="1"/>
  <c r="O10" i="1"/>
  <c r="M10" i="1"/>
  <c r="L10" i="1"/>
  <c r="J10" i="1"/>
  <c r="G10" i="1"/>
  <c r="A10" i="1"/>
  <c r="P9" i="1"/>
  <c r="O9" i="1"/>
  <c r="M9" i="1"/>
  <c r="L9" i="1"/>
  <c r="J9" i="1"/>
  <c r="G9" i="1"/>
  <c r="A9" i="1"/>
  <c r="P8" i="1"/>
  <c r="O8" i="1"/>
  <c r="M8" i="1"/>
  <c r="L8" i="1"/>
  <c r="J8" i="1"/>
  <c r="G8" i="1"/>
  <c r="A8" i="1"/>
  <c r="C22" i="4"/>
  <c r="C21" i="4"/>
  <c r="C20" i="4"/>
  <c r="C19" i="4"/>
  <c r="C18" i="4"/>
  <c r="C16" i="4"/>
  <c r="C15" i="4"/>
  <c r="C14" i="4"/>
  <c r="C13" i="4"/>
  <c r="C12" i="4"/>
  <c r="C11" i="4"/>
  <c r="C10" i="4"/>
  <c r="C9" i="4"/>
  <c r="C8" i="4"/>
  <c r="C7" i="4"/>
  <c r="C6" i="4"/>
  <c r="C5" i="4"/>
  <c r="C4" i="4"/>
</calcChain>
</file>

<file path=xl/sharedStrings.xml><?xml version="1.0" encoding="utf-8"?>
<sst xmlns="http://schemas.openxmlformats.org/spreadsheetml/2006/main" count="1003" uniqueCount="522">
  <si>
    <t>GENERAL SUMMARY</t>
  </si>
  <si>
    <t>DIVISION NO.</t>
  </si>
  <si>
    <t>DESCRIPTION</t>
  </si>
  <si>
    <t>TOTAL DIV. COST</t>
  </si>
  <si>
    <t>General Requirments</t>
  </si>
  <si>
    <t>Extisting Condition</t>
  </si>
  <si>
    <t>Concrete</t>
  </si>
  <si>
    <t>Wood &amp; Plastics</t>
  </si>
  <si>
    <t>Thermal &amp; Moisture Protection</t>
  </si>
  <si>
    <t>Opening</t>
  </si>
  <si>
    <t>Finishes</t>
  </si>
  <si>
    <t>Specialties</t>
  </si>
  <si>
    <t>Furnishing</t>
  </si>
  <si>
    <t>Plumbing</t>
  </si>
  <si>
    <t>HVAC</t>
  </si>
  <si>
    <t>Electrical</t>
  </si>
  <si>
    <t>TOTAL TRADE COST</t>
  </si>
  <si>
    <t>CONTINGENCY</t>
  </si>
  <si>
    <t>OVERHEAD (10%)</t>
  </si>
  <si>
    <t>TAX (7.25%)</t>
  </si>
  <si>
    <t>PERFORMANCE AND PAYMENT BONDS</t>
  </si>
  <si>
    <t>TOTAL BASEBID</t>
  </si>
  <si>
    <t>DETAILED BREAKDOWN OF ITEMS</t>
  </si>
  <si>
    <t>Project Name</t>
  </si>
  <si>
    <t>Project Address</t>
  </si>
  <si>
    <t>Scope:</t>
  </si>
  <si>
    <t>Complete Material Takeoff/Estimation</t>
  </si>
  <si>
    <t>S#</t>
  </si>
  <si>
    <t>Dwg.</t>
  </si>
  <si>
    <t>CSI NO</t>
  </si>
  <si>
    <t>QTY.</t>
  </si>
  <si>
    <t>Wastage</t>
  </si>
  <si>
    <t>Qty w/ Waste</t>
  </si>
  <si>
    <t>UNIT</t>
  </si>
  <si>
    <t>UNIT LABOR HOUR</t>
  </si>
  <si>
    <t>TOTAL LABOR HOUR</t>
  </si>
  <si>
    <t>LABOR WAGE/ HOUR</t>
  </si>
  <si>
    <t>UNIT LABOR COST</t>
  </si>
  <si>
    <t>TOTAL LABOR COST</t>
  </si>
  <si>
    <t>UNIT MATERIAL  COST</t>
  </si>
  <si>
    <t>TOTAL MATERIAL COST</t>
  </si>
  <si>
    <t>UNIT PRICE (Labor &amp; Material)</t>
  </si>
  <si>
    <t>TRADE TOTAL</t>
  </si>
  <si>
    <t>DIVISION 01-GENERAL REQUIREMENTS</t>
  </si>
  <si>
    <t>Permits</t>
  </si>
  <si>
    <t>LS</t>
  </si>
  <si>
    <t>Supervision and Coordination</t>
  </si>
  <si>
    <t>Submittals and Shop drawings</t>
  </si>
  <si>
    <t>Final Cleaning</t>
  </si>
  <si>
    <t>Mobilization Costs</t>
  </si>
  <si>
    <t>Temporary Control &amp; Facilities</t>
  </si>
  <si>
    <t>Scaffolding</t>
  </si>
  <si>
    <t>NOTE: We Have Took The 9% Of Base Bid Amount For General Requirments.</t>
  </si>
  <si>
    <t>SUBTOTAL</t>
  </si>
  <si>
    <t>DIVISION 02- EXISTING CONDITIONS</t>
  </si>
  <si>
    <t>A1.0, A1.1 &amp; A1.2</t>
  </si>
  <si>
    <t>DEMOLITION</t>
  </si>
  <si>
    <t>Remove Existing Deck Structure</t>
  </si>
  <si>
    <t>SF</t>
  </si>
  <si>
    <t>Remove Existing Paving</t>
  </si>
  <si>
    <t>Remove Existing Concrete Ramp</t>
  </si>
  <si>
    <t>Remove Existing 4" Thick Interior Wall</t>
  </si>
  <si>
    <t>Remove Existing 6" Thick Interior Wall</t>
  </si>
  <si>
    <t>Remove Existing Wall Finishes</t>
  </si>
  <si>
    <t>Remove Existing Sheet Vinyl Tile Flooring</t>
  </si>
  <si>
    <t>Remove Existing Wainscoting</t>
  </si>
  <si>
    <t>Remove Existing Full Height Wall Tile</t>
  </si>
  <si>
    <t>Remove Existing Wall Tile Wainscoting</t>
  </si>
  <si>
    <t>Remove Existing Tile Flooring</t>
  </si>
  <si>
    <t>Remove Existing Gypsum Board Ceiling W/ Molding</t>
  </si>
  <si>
    <t>Remove Existing Chain Link Fence</t>
  </si>
  <si>
    <t>LF</t>
  </si>
  <si>
    <t>Remove Existing Wood Trim</t>
  </si>
  <si>
    <t>Remove Existing (1'-0"Deep) Upper Cabinets</t>
  </si>
  <si>
    <t>Remove Existing (1'-0"Deep) Storage Shelving</t>
  </si>
  <si>
    <t>Remove Existing (2'-0"Deep) Base Cabinets</t>
  </si>
  <si>
    <t>Remove Existing (1'-4"Deep) Storage Shelving</t>
  </si>
  <si>
    <t>Remove Existing (2'-0"Deep) Storage Shelving</t>
  </si>
  <si>
    <t>Remove Existing Wall Base</t>
  </si>
  <si>
    <t>Remove Existing Handrail</t>
  </si>
  <si>
    <t>Remove Existing Wall Scone</t>
  </si>
  <si>
    <t>EA</t>
  </si>
  <si>
    <t>Remove Existing Electrical Outlet</t>
  </si>
  <si>
    <t>Remove Existing Data</t>
  </si>
  <si>
    <t>Remove Existing Thermostat</t>
  </si>
  <si>
    <t>Remove Existing Switches</t>
  </si>
  <si>
    <t>Remove Existing Electrical Panel</t>
  </si>
  <si>
    <t>Remove Existing HVAC Window Unit</t>
  </si>
  <si>
    <t>Remove Existing (24" X 24") Mechanical Equipment</t>
  </si>
  <si>
    <t>Remove Existing Vanity</t>
  </si>
  <si>
    <t>Remove Existing Sink</t>
  </si>
  <si>
    <t>Remove Existing Water Closet</t>
  </si>
  <si>
    <t>Remove Existing (2'-0" X 2'-6") Shower Pan W/ Enclosure</t>
  </si>
  <si>
    <t>Remove Existing (4'-8" X 2'-2") Bath Tub</t>
  </si>
  <si>
    <t>Remove Existing (5'-0" X 2'-4") Bath Tub</t>
  </si>
  <si>
    <t>Remove Existing Water Heater</t>
  </si>
  <si>
    <t>Remove Existing Single Leaf Door W/ Frame</t>
  </si>
  <si>
    <t>Remove Existing Double Leaf Door W/ Frame</t>
  </si>
  <si>
    <t>Remove Existing Window</t>
  </si>
  <si>
    <t>Remove Exising Toilet Paper Roll</t>
  </si>
  <si>
    <t>Remove Existing Window Treatment</t>
  </si>
  <si>
    <t>Remove &amp; Relocate Existing Patch Panels</t>
  </si>
  <si>
    <t>Remove Existing Motion Detector</t>
  </si>
  <si>
    <t>Remove Existing Ceiling Fan</t>
  </si>
  <si>
    <t>Remove Existing Security Cameras</t>
  </si>
  <si>
    <t>Remove Existing Exhaust Fan</t>
  </si>
  <si>
    <t>Remove Existing (4'-0" X 10") Ceiling Light Fixture</t>
  </si>
  <si>
    <t>Remove Existing Light Fixture</t>
  </si>
  <si>
    <t>Remove Existing Conduits J-Box</t>
  </si>
  <si>
    <t>Remove Existing (2'-0" X 2'-0") Attic Access Panel</t>
  </si>
  <si>
    <t>Remove Existing Smoke Detector</t>
  </si>
  <si>
    <t>Remove Existing Fire Alarm System</t>
  </si>
  <si>
    <t>Remove Existing Fire Alarm</t>
  </si>
  <si>
    <t>Remove Existing Fire Strobe</t>
  </si>
  <si>
    <t>Remove Existing (12" X 12") Supply &amp; Return HVAC Ceiling Register</t>
  </si>
  <si>
    <t>REPLACEMENT</t>
  </si>
  <si>
    <t>Remove &amp; Replace Existing Light Fixture</t>
  </si>
  <si>
    <t>HAULING</t>
  </si>
  <si>
    <t>Hauling of Demolition Material</t>
  </si>
  <si>
    <t>DIVISION 03- CONCRETE</t>
  </si>
  <si>
    <t>A2.0</t>
  </si>
  <si>
    <t>REINFORCED CONCRETE</t>
  </si>
  <si>
    <t>THICKENED SLAB EDGE:</t>
  </si>
  <si>
    <t>(12" X 8") Thickened Slab Edge (59 LF)</t>
  </si>
  <si>
    <t>CY</t>
  </si>
  <si>
    <t>CONCRETE CURB:</t>
  </si>
  <si>
    <t>(6" X 6") Concrete Curb (38 LF)</t>
  </si>
  <si>
    <t>SLAB</t>
  </si>
  <si>
    <t>4" Thick Reinforced Concrete Ramp</t>
  </si>
  <si>
    <t>4" Thick Reinforced Concrete Slab</t>
  </si>
  <si>
    <t>4" Thick Gravel Base</t>
  </si>
  <si>
    <t>DIVISION 06- WOOD, PLASTIC &amp; COMPOSITES</t>
  </si>
  <si>
    <t>A2.1</t>
  </si>
  <si>
    <t>FINISHED CARPENTRY</t>
  </si>
  <si>
    <t>(2'-0"Deep) Base Cabinets 
PL-2 Plastic Laminate
Mfr: WILSONART 
Color: GRANVILLE CHERRY
Finish: SILKEN WOOD</t>
  </si>
  <si>
    <t>(2'-0"Deep) Base Cabinets 
PL-1 Plastic Laminate
Mfr: WILSONART 
Color: FEATHER VELVET
Finish: ULTRA MATTE</t>
  </si>
  <si>
    <t>(1'-0"Deep) Upper Wall Cabinets 
PL-2 Plastic Laminate
Mfr: WILSONART 
Color: GRANVILLE CHERRY
Finish: SILKEN WOOD</t>
  </si>
  <si>
    <t>(1'-0"Deep) Upper Wall Cabinets 
PL-1 Plastic Laminate
Mfr: WILSONART 
Color: FEATHER VELVET
Finish: ULTRA MATTE</t>
  </si>
  <si>
    <t>DIVISION 07-THERMAL &amp; MOISTURE PROTECTION</t>
  </si>
  <si>
    <t>A2.2 &amp; A3.1</t>
  </si>
  <si>
    <t>ROOFING &amp; ACCESSORIES</t>
  </si>
  <si>
    <t>ROOFING:</t>
  </si>
  <si>
    <t>Asphalt Roofing</t>
  </si>
  <si>
    <t>Fiberglass Insulation</t>
  </si>
  <si>
    <t>Cover Board</t>
  </si>
  <si>
    <t>Tapered Insulation</t>
  </si>
  <si>
    <t>ROOF ACCESSORIES:</t>
  </si>
  <si>
    <t>New Intake Vent</t>
  </si>
  <si>
    <t>DIVISION 08- OPENINGS</t>
  </si>
  <si>
    <t>A2.1 &amp; A9.1</t>
  </si>
  <si>
    <t>DOORS</t>
  </si>
  <si>
    <t>(3'-0"W X 7'-0"H ) Single Leaf Wooden Door W/ Hollow Metal Frame</t>
  </si>
  <si>
    <t>(3'-0"W X 7'-0"H ) Single Leaf Wooden Door W/ Hollow Metal Frame &amp; (24" X 24") Tempered Glass</t>
  </si>
  <si>
    <t>(3'-0"W X 7'-0"H ) Single Leaf Wooden Tempered Glass Door W/ Hollow Metal Frame</t>
  </si>
  <si>
    <t>Door Hardwares</t>
  </si>
  <si>
    <t>Allowance For Door Hardwares</t>
  </si>
  <si>
    <t>WINDOWS</t>
  </si>
  <si>
    <t>A: (3'-0" X 7'-0") Fixed Window</t>
  </si>
  <si>
    <t>A2: (3'-0" X 7'-0") Fixed &amp; Operatable Window</t>
  </si>
  <si>
    <t>B: (3'-0" X 4'-6") Fixed Window</t>
  </si>
  <si>
    <t>B2: (3'-0" X 4'-6") Fixed Window</t>
  </si>
  <si>
    <t>B3: (3'-0" X 4'-6") Fixed Window</t>
  </si>
  <si>
    <t>C: (3'-0" X 2'-4") Fixed Window</t>
  </si>
  <si>
    <t>C2: (3'-0" X 2'-4") Fixed Window</t>
  </si>
  <si>
    <t>D: (3'-0" X 4'-8") Fixed Window</t>
  </si>
  <si>
    <t>DIVISION 09- FINISHES</t>
  </si>
  <si>
    <t/>
  </si>
  <si>
    <t>A2.1, A2.2, A3.1, A6.1 &amp; A7.1</t>
  </si>
  <si>
    <t>WALLS</t>
  </si>
  <si>
    <t>INTERIOR WALLS</t>
  </si>
  <si>
    <t>1: 4" Interior Metal Stud Wall (10'-0"High)</t>
  </si>
  <si>
    <t>5/8" Type-X Gypsum Board On Both Sides</t>
  </si>
  <si>
    <t>4x8 No of  Sheets</t>
  </si>
  <si>
    <t>Drywall Screws</t>
  </si>
  <si>
    <t>Tape Joints</t>
  </si>
  <si>
    <t>Mudding</t>
  </si>
  <si>
    <t>LBs</t>
  </si>
  <si>
    <t>5/8" Quietrock EZ On Both Sides</t>
  </si>
  <si>
    <t>Sound Acoustic Insulation</t>
  </si>
  <si>
    <t>4" Metal Studs @ 16" O.C.</t>
  </si>
  <si>
    <t>4" Metal Top &amp; Bottom Plate</t>
  </si>
  <si>
    <t>Sealent</t>
  </si>
  <si>
    <t>1: 6" Interior Metal Stud Wall (10'-0"High)</t>
  </si>
  <si>
    <t>6" Metal Studs @ 16" O.C.</t>
  </si>
  <si>
    <t>6" Metal Top &amp; Bottom Plate</t>
  </si>
  <si>
    <t>1A: 4" Interior Metal Stud Wall (10'-0"High)</t>
  </si>
  <si>
    <t>2: 2" X 4" Interior Wood Stud Wall (10'-0"High)</t>
  </si>
  <si>
    <t>2" X 4" Wood Studs @ 16" O.C.</t>
  </si>
  <si>
    <t>2" X 4" Wood Top &amp; Bottom Plate</t>
  </si>
  <si>
    <t>2A: 2" X 6" Interior Wood Stud Wall (10'-0"High)</t>
  </si>
  <si>
    <t>2" X 6" Wood Studs @ 16" O.C.</t>
  </si>
  <si>
    <t>2" X 6" Wood Top &amp; Bottom Plate</t>
  </si>
  <si>
    <t>FLOORING</t>
  </si>
  <si>
    <t>LVT-1 Luxury Vinyl Tile 
Mfr: ARMSTRONG FLOORING 
Model: BIOME COLLECTION 
Color: MONTANE KILIMANJARO ST252 
Size: 6" X 48"</t>
  </si>
  <si>
    <t>CPT-1 Carpet Flooring 
Color: OAT 107798 
Size: 24" X 24"</t>
  </si>
  <si>
    <t>CT-1 Ceramic Tile Flooring 
Mfr: DALTILE 
Color: IRON GREY PF06 
Finish: SEMI-GLOSS 
Size: 2" X 2"</t>
  </si>
  <si>
    <t>BASE &amp; TRIMS</t>
  </si>
  <si>
    <t>Door Trims</t>
  </si>
  <si>
    <t>Window Trims</t>
  </si>
  <si>
    <t>Ceramic Tile Flattop Cove Base As: CTB-1
Mfr: Daltile
Model: Portfolio
Color: IBIS White, Matte Finish
Dimension: (6"x12"), Thickness:5/16"
Grout: Custom Building Products</t>
  </si>
  <si>
    <t>Rubber Base As: RB-1
Mfr: Tarkett
Color: Moon Rock 29
Height: 6"</t>
  </si>
  <si>
    <t>CEILING</t>
  </si>
  <si>
    <t>One Layer of 5/8" Gypsum Ceiling</t>
  </si>
  <si>
    <t>One Layer of 5/8" Moisture Resistant Gypsum Ceiling</t>
  </si>
  <si>
    <t>Paint on Gypsum Board Ceiling</t>
  </si>
  <si>
    <t>Prepair Existing Ceiling for New Paint</t>
  </si>
  <si>
    <t>WALL FINISH</t>
  </si>
  <si>
    <t>Bullnose Tile As: CT-2
Mfr: Daltile
Model: Portfolio
Color: White PFO I , Matte Finish
Size: (6"x24"), Thickness: 5/16"
Grout: Custom Building Products</t>
  </si>
  <si>
    <t>Wood Wall Paneling As: WP-2
Model: The Wood Veneer Hub
Color: American Oak, Original Slatpanel
Size: 94,49" H x25, 20"W</t>
  </si>
  <si>
    <t>FRP Panel As: WP-3
Mfr:Marlite
Model: Standard Pebbled FRP
Color: White P IOO, Finish Pebbled</t>
  </si>
  <si>
    <t>Wall Tile As: CT-1
Mfr: Daltile
Model: Portfolio
Color: White PFO I , Matte Finish
Size: (12"x24")
Grout: Custom Building Products</t>
  </si>
  <si>
    <t>Accent Paint As: PT-10
Mfr: Sherwin Wiliams
Color: Loyal blue SW6510
Finish: Eggshell</t>
  </si>
  <si>
    <t>Accent Paint As: PT-4
Mfr: Sherwin Wiliams
Color: Cayenne Sw6881
Finish: Eggshell</t>
  </si>
  <si>
    <t>Accent Paint As: PT-7
Mfr: Sherwin Wiliams
Color: Summer Day SW6662
Finish: Eggshell</t>
  </si>
  <si>
    <t>Accent Paint As: PT-8
Mfr: Sherwin Wiliams
Color: SPA SW6765
Finish: Semi-Gloss</t>
  </si>
  <si>
    <t>Accent Paint As: PT-9
Mfr: Sherwin Wiliams
Color: Gulfstream SW6768
Finish: Eggshell</t>
  </si>
  <si>
    <t>Field Paint As: PT-3
Mfr: Sherwin Wiliams
Color: IBIS White
Finish: Eggshell</t>
  </si>
  <si>
    <t>Paint on Wall As: PT-2
Mfr: Sherwin Wiliams
Color: IBIS White
Finish: Semi-Gloss</t>
  </si>
  <si>
    <t>MISC. PAINT</t>
  </si>
  <si>
    <t>Paint on Single Leaf Door W/Frame</t>
  </si>
  <si>
    <t>Paint on Door Trim</t>
  </si>
  <si>
    <t>Paint on Window Trim</t>
  </si>
  <si>
    <t>Paint @ Existing Gutter</t>
  </si>
  <si>
    <t>Paint @ Existing Downspout</t>
  </si>
  <si>
    <t>Paint @ (3'-0"High) 1 1/2" Dia Brushed Stainless Steel Handrail W/ Post @ 5'-0" O.C.</t>
  </si>
  <si>
    <t>DIVISION 10- SPECIALTIES</t>
  </si>
  <si>
    <t>A4.1 &amp; A4.2</t>
  </si>
  <si>
    <t>TOILET ACCESSORIES</t>
  </si>
  <si>
    <r>
      <rPr>
        <sz val="12"/>
        <color theme="1"/>
        <rFont val="Calibri"/>
        <charset val="134"/>
      </rPr>
      <t xml:space="preserve">(5'-0" H) Toilet Partition
Mfr: BOBRICK
Model: 1540 Series
</t>
    </r>
    <r>
      <rPr>
        <sz val="12"/>
        <color rgb="FFFF0000"/>
        <rFont val="Calibri"/>
        <charset val="134"/>
      </rPr>
      <t>Provided And Installed Ay Gc</t>
    </r>
  </si>
  <si>
    <r>
      <rPr>
        <sz val="12"/>
        <color theme="1"/>
        <rFont val="Calibri"/>
        <charset val="134"/>
      </rPr>
      <t xml:space="preserve">A
Surface-Mounted Seat-Cover Dispenser
Mfr: Bobrick 
Model: A-22 1
</t>
    </r>
    <r>
      <rPr>
        <sz val="12"/>
        <color rgb="FFFF0000"/>
        <rFont val="Calibri"/>
        <charset val="134"/>
      </rPr>
      <t>Provided And Installed By Gc"</t>
    </r>
  </si>
  <si>
    <r>
      <rPr>
        <sz val="12"/>
        <color theme="1"/>
        <rFont val="Calibri"/>
        <charset val="134"/>
      </rPr>
      <t xml:space="preserve">B
Double-Roll Toilet Tissue Dispenser
Mfr: Bobrick 
Model: B-6867
</t>
    </r>
    <r>
      <rPr>
        <sz val="12"/>
        <color rgb="FFFF0000"/>
        <rFont val="Calibri"/>
        <charset val="134"/>
      </rPr>
      <t>Provided And Installed By Gc"</t>
    </r>
  </si>
  <si>
    <r>
      <rPr>
        <sz val="12"/>
        <color theme="1"/>
        <rFont val="Calibri"/>
        <charset val="134"/>
      </rPr>
      <t xml:space="preserve">C
I - 1/4" Dia. 36" Grab Bar, Satin Finish,
Concealed Mounting
Mfr: Bobrick 
Model: B-5806x36"
</t>
    </r>
    <r>
      <rPr>
        <sz val="12"/>
        <color rgb="FFFF0000"/>
        <rFont val="Calibri"/>
        <charset val="134"/>
      </rPr>
      <t>Provided And Installed By Gc</t>
    </r>
  </si>
  <si>
    <r>
      <rPr>
        <sz val="12"/>
        <color theme="1"/>
        <rFont val="Calibri"/>
        <charset val="134"/>
      </rPr>
      <t xml:space="preserve">D
I - 1/4" Dia. 42" Grab Bar, Satin Finish 
Concealed Mounting
Mfr: Bobrick 
Model: B-5806 X 42"
</t>
    </r>
    <r>
      <rPr>
        <sz val="12"/>
        <color rgb="FFFF0000"/>
        <rFont val="Calibri"/>
        <charset val="134"/>
      </rPr>
      <t>Provided And Installed Ay Gc</t>
    </r>
  </si>
  <si>
    <r>
      <rPr>
        <sz val="12"/>
        <color theme="1"/>
        <rFont val="Calibri"/>
        <charset val="134"/>
      </rPr>
      <t xml:space="preserve">E1
Surface-Mounted Mirror
Mfr:Bobrick
Model: B- 1 65 2436
</t>
    </r>
    <r>
      <rPr>
        <sz val="12"/>
        <color rgb="FFFF0000"/>
        <rFont val="Calibri"/>
        <charset val="134"/>
      </rPr>
      <t>Provided And Installed Ay Gc</t>
    </r>
  </si>
  <si>
    <r>
      <rPr>
        <sz val="12"/>
        <color theme="1"/>
        <rFont val="Calibri"/>
        <charset val="134"/>
      </rPr>
      <t xml:space="preserve">F
Surface-Mounted Coat Hook
Mfr: Bobrick
Model: B-671
</t>
    </r>
    <r>
      <rPr>
        <sz val="12"/>
        <color rgb="FFFF0000"/>
        <rFont val="Calibri"/>
        <charset val="134"/>
      </rPr>
      <t>Provided And Installed By Gc</t>
    </r>
  </si>
  <si>
    <r>
      <rPr>
        <sz val="12"/>
        <color theme="1"/>
        <rFont val="Calibri"/>
        <charset val="134"/>
      </rPr>
      <t xml:space="preserve">F2
Sensor Activated Lavatory Faucet
Mfr: Symmons 
Model: S6350B
</t>
    </r>
    <r>
      <rPr>
        <sz val="12"/>
        <color rgb="FFFF0000"/>
        <rFont val="Calibri"/>
        <charset val="134"/>
      </rPr>
      <t>Provided And Installed By Gc</t>
    </r>
  </si>
  <si>
    <r>
      <rPr>
        <sz val="12"/>
        <color theme="1"/>
        <rFont val="Calibri"/>
        <charset val="134"/>
      </rPr>
      <t xml:space="preserve">H
Surface-Mounttd Sanitary Napkin Disposal
Mfr: Bobrick 
Model: B-270
</t>
    </r>
    <r>
      <rPr>
        <sz val="12"/>
        <color rgb="FFFF0000"/>
        <rFont val="Calibri"/>
        <charset val="134"/>
      </rPr>
      <t>Provided And Installed By Gc"</t>
    </r>
  </si>
  <si>
    <r>
      <rPr>
        <sz val="12"/>
        <color theme="1"/>
        <rFont val="Calibri"/>
        <charset val="134"/>
      </rPr>
      <t xml:space="preserve">I
Baby Chancing Station
Mfr: Koala Rare" KB Horiz 
Model: KB-200-01 Grey
</t>
    </r>
    <r>
      <rPr>
        <sz val="12"/>
        <color rgb="FFFF0000"/>
        <rFont val="Calibri"/>
        <charset val="134"/>
      </rPr>
      <t>Provided And Installed Ay Gc</t>
    </r>
  </si>
  <si>
    <r>
      <rPr>
        <sz val="12"/>
        <color theme="1"/>
        <rFont val="Calibri"/>
        <charset val="134"/>
      </rPr>
      <t xml:space="preserve">L
Surface-Mounted  Betco clario Black Manual Soap Dispenser 12/CS
</t>
    </r>
    <r>
      <rPr>
        <sz val="12"/>
        <color rgb="FFFF0000"/>
        <rFont val="Calibri"/>
        <charset val="134"/>
      </rPr>
      <t>Provided By Owner And Installed By Gc</t>
    </r>
  </si>
  <si>
    <r>
      <rPr>
        <sz val="12"/>
        <color theme="1"/>
        <rFont val="Calibri"/>
        <charset val="134"/>
      </rPr>
      <t xml:space="preserve">M
Surface-Mounted Enmotion Impulse
Automated Paper Towel Dispenser
</t>
    </r>
    <r>
      <rPr>
        <sz val="12"/>
        <color rgb="FFFF0000"/>
        <rFont val="Calibri"/>
        <charset val="134"/>
      </rPr>
      <t>Provided By Owner And Installed By Gc</t>
    </r>
  </si>
  <si>
    <t>DIVISION 12-FURNISHING</t>
  </si>
  <si>
    <t>WINDOW SHADES</t>
  </si>
  <si>
    <t>Window Shade As: WS-1
Mechoshade
TBD Series
Color: TBD, 3% Open</t>
  </si>
  <si>
    <t>GUARD RAIL</t>
  </si>
  <si>
    <t>(3'-0"High) 1 1/2" Dia Brushed Stainless Steel Handrail W/ Post @ 5'-0" O.C.</t>
  </si>
  <si>
    <t>COUNTERTOP</t>
  </si>
  <si>
    <t>(4" High ) Back Splash</t>
  </si>
  <si>
    <t>SS-1: Solid Surface Countertop 
Mfr: WILSONART 
Color: TBD</t>
  </si>
  <si>
    <t>SS-2: Solid Surface Countertop 
Mfr: WILSONART 
Color: CALACATTA PERLATO</t>
  </si>
  <si>
    <t>DIVISION 22- PLUMBING</t>
  </si>
  <si>
    <t>FIXTURES</t>
  </si>
  <si>
    <t>Angle Stop</t>
  </si>
  <si>
    <t>P2.1 &amp; P3.0</t>
  </si>
  <si>
    <t>Angle Stop Hot Water</t>
  </si>
  <si>
    <t>Floor Clean-Out</t>
  </si>
  <si>
    <t>Wall Clean-Out</t>
  </si>
  <si>
    <t>Wall Access Panel</t>
  </si>
  <si>
    <t>DF-1: Drinking Fountain</t>
  </si>
  <si>
    <t>FD-1: Floor Drain
JAY R. SMITH #2005Y-AHP</t>
  </si>
  <si>
    <t>FS-1: Floor Sink
JAY R. SMITH #3140Y</t>
  </si>
  <si>
    <t>ET-1: Expansion Tank 9 LBS, 4.4 GAL
THERM-X-TROL #ST-12</t>
  </si>
  <si>
    <t>CP-1: Circulation Pump 11 LBS,
BELL &amp; GOSSETT #NBF-25 (3 SPEED)</t>
  </si>
  <si>
    <t>WC-1: Water Closet
KOHLER #K-3B89-UT ELONGATED, FLOOR MOUNTED TOILET AND
TANK, 1.28 GPF. ENSURE TRIP LEVER IS LOCATED ON APPROACH
SIDE OF TOILET
KOHLER *-29177-GC ELONGATED, OPEN FRONT SEAT
FURNISH AND INSTALL ESCUTCHEON, BRAIDED STAINLESS STEEL
SUPPLY LINE, QUARTER-TURN ANGLE STOP AND WAX RING.</t>
  </si>
  <si>
    <t>WC-2: Water Closet
KOHLER #K-3889-UT ELONGATED, FLOOR MOUNTED TOILET AND
TANK, 128 GPF. ENSURE TRIP LEVER IS LOCATED ON APPROACH
SIDE OF TOILET
KOHLER #K-29177-GC ELONGATED, OPEN FRONT SEAT
FURNISH AND INSTALL ESCUTCHEON, BRAIDED STAINLESS STEEL
SUPPLY LINE, QUARTER-TURN ANGLE STOP AND WAX RING.</t>
  </si>
  <si>
    <t>TP-1: Trap Priemer
ppp _500 TRAP PRIMER
PPP #DU-U DISTRIBUTION BOX AS REQUIRED
FURNISH AND INSTALL ACCESS PANEL AS REQUIRED</t>
  </si>
  <si>
    <t>LV-1: Lavatory
KOHLER *2867 WALL MOUNTED SINK WITH OVERFLOW
SYMMONS DECK MOUNTED BATTERY POWERED
SENSOR FAUCET 0.35 GPM
BRADLEY #S59-4000A THERMOSTATIC MIXING VALVE, SET AT 1100
FURNISH AND INSTALL FIXTURE CARRIER COMPATIBLE WITH WITH
LAVATORY
FURNISH AND INSTALL CHROME PLATED BRASS TAILPIECE, P-TRAP,
TRAP ARM, ESCUTCHEONS, STAINLESS STEEL SUPPLY LINES AND
QUARTER-TURN ANGLE STOPS</t>
  </si>
  <si>
    <t>MS-1: MOP Sink
FIAT #TSB3010 FLOOR MOUNTED, SQUARE MOP BASIN
BRASS #B-0665-BSTR WALL MOUNTED FAUCET WITH VACUUM
BREAKER</t>
  </si>
  <si>
    <t>SK-1: Sink
JUST #US-ADA-1616-A UNDERMOUNT, SINGLE COMPARTMENT SINK
SLOAN #EAF-750, SENSOR OPERATED GOOSENECK FAUCET, 0.35
GPM
BRADLEY #S59-4000A THERMOSTATIC MIXING VALVE, SET AT 1106
FURNISH AND INSTALL CHROME PLATED BRASS TAILPIECE, P-TRAP,
TRAP ARM, ESCUTCHEONS, STAINLESS STEEL SUPPLY LINES AND
QUARTER TURN ANGLE STOPS</t>
  </si>
  <si>
    <t>SK-2: Sink
JUST #DLADA1829A55-J, 2-COMPARTMENT SINK
SLOAN #EBF-750, SENSOR OPERATED GOOSENECK FAUCET, 1.5
GPM
FURNISH AND INSTALL CHROME PLATED BRASS TAILPIECE, P-TRAP,
TRAP ARM, ESCUTCHEONS, STAINLESS STEEL SUPPLY LINES AND
QUARTER TURN ANGLE STOPS</t>
  </si>
  <si>
    <t>UR-1: Urinal
KOHLER #K-5452-ET WALL MOUNTED, TOP SPUD URINAL
TOTO #TEUI UA#CP SENSOR OPERATED FLUSH VALVE, O. 125 GPF
FURNISH AND INSTALL FIXTURE CARRIER COMPATIBLE WITH
URINAL
FURNISH AND INSTALL CLEANOUT ABOUT FIXTURE CONNECTION
FITTING AS REQUIRED PER CPC</t>
  </si>
  <si>
    <t>WHA-1: Water Hammer Arrestor
PPP #SC SERIES</t>
  </si>
  <si>
    <t>PIPING</t>
  </si>
  <si>
    <t>2" Vent Pipe</t>
  </si>
  <si>
    <t>2" Sanitary Pipe</t>
  </si>
  <si>
    <t>3" Sanitary Pipe</t>
  </si>
  <si>
    <t>4" Sanitary Pipe</t>
  </si>
  <si>
    <t>1" Domestic Water Pipe</t>
  </si>
  <si>
    <t>2" Domestic Water Pipe</t>
  </si>
  <si>
    <t>3/4" Domestic Water Pipe</t>
  </si>
  <si>
    <t>1 1/2" Domestic Water Pipe</t>
  </si>
  <si>
    <t>1 1/4" Domestic Water Pipe</t>
  </si>
  <si>
    <t>1 1/4" Condensate Drain Pipe</t>
  </si>
  <si>
    <t>DIVISION 23- HVAC</t>
  </si>
  <si>
    <t>M2.1</t>
  </si>
  <si>
    <t>Filter-Box</t>
  </si>
  <si>
    <t>Thermostat</t>
  </si>
  <si>
    <t>PLENUMS</t>
  </si>
  <si>
    <t>26" X 12" Plenum</t>
  </si>
  <si>
    <t>26" X 10" Plenum</t>
  </si>
  <si>
    <t>38" X 10" Plenum</t>
  </si>
  <si>
    <t>37" X 12" Plenum</t>
  </si>
  <si>
    <t>38" X 14" Plenum</t>
  </si>
  <si>
    <t>54" X 10" Plenum</t>
  </si>
  <si>
    <t>37" X 14" Plenum</t>
  </si>
  <si>
    <t>53" X 10" Plenum</t>
  </si>
  <si>
    <t>53" X 16" Plenum</t>
  </si>
  <si>
    <t>AIR DEVICES</t>
  </si>
  <si>
    <t>A: Ceiling Diffuser 70 CFM
TITUS #MCD-AA</t>
  </si>
  <si>
    <t>A: Ceiling Diffuser 75 CFM
TITUS #MCD-AA</t>
  </si>
  <si>
    <t>A: Ceiling Diffuser 100CFM
TITUS #MCD-AA</t>
  </si>
  <si>
    <t>A: Ceiling Diffuser 125 CFM
TITUS #MCD-AA</t>
  </si>
  <si>
    <t>A: Ceiling Diffuser 150 CFM
TITUS #MCD-AA</t>
  </si>
  <si>
    <t>A: Ceiling Diffuser 175 CFM
TITUS #MCD-AA</t>
  </si>
  <si>
    <t>A: Ceiling Diffuser 195 CFM
TITUS #MCD-AA</t>
  </si>
  <si>
    <t>A: Ceiling Diffuser 200 CFM
TITUS #MCD-AA</t>
  </si>
  <si>
    <t>A: Ceiling Diffuser 240 CFM
TITUS #MCD-AA</t>
  </si>
  <si>
    <t>A: Ceiling Diffuser 250 CFM
TITUS #MCD-AA</t>
  </si>
  <si>
    <t>A: Ceiling Diffuser 290 CFM
TITUS #MCD-AA</t>
  </si>
  <si>
    <t>A: Ceiling Diffuser-300 CFM
TITUS #MCD-AA</t>
  </si>
  <si>
    <t>B: Ceiling Diffuser 60 CFM
TITUS #50A</t>
  </si>
  <si>
    <t>B: Ceiling Diffuser 50 CFM
TITUS #50A</t>
  </si>
  <si>
    <t>B: Ceiling Diffuser 65 CFM
TITUS #50A</t>
  </si>
  <si>
    <t>B: Ceiling Diffuser 80 CFM
TITUS #50A</t>
  </si>
  <si>
    <t>B: Ceiling Diffuser 85 CFM
TITUS #50A</t>
  </si>
  <si>
    <t>B: Ceiling Diffuser 90 CFM
TITUS #50A</t>
  </si>
  <si>
    <t>B: Ceiling Diffuser 100 CFM
TITUS #50A</t>
  </si>
  <si>
    <t>B: Ceiling Diffuser 125 CFM
TITUS #50A</t>
  </si>
  <si>
    <t>B: Ceiling Diffuser 150 CFM
TITUS #50A</t>
  </si>
  <si>
    <t>B: Ceiling Diffuser 170 CFM
TITUS #50A</t>
  </si>
  <si>
    <t>B: Ceiling Diffuser 180 CFM
TITUS #50A</t>
  </si>
  <si>
    <t>B: Ceiling Diffuser 240 CFM
TITUS #50A</t>
  </si>
  <si>
    <t>B: Ceiling Diffuser 280 CFM
TITUS #50A</t>
  </si>
  <si>
    <t>B: Ceiling Diffuser 335 CFM
TITUS #50A</t>
  </si>
  <si>
    <t>B: Ceiling Diffuser 340 CFM
TITUS #50A</t>
  </si>
  <si>
    <t>B: Ceiling Diffuser 370 CFM
TITUS #50A</t>
  </si>
  <si>
    <t>B: Ceiling Diffuser 390 CFM
TITUS #50A</t>
  </si>
  <si>
    <t>B: Ceiling Diffuser 400 CFM
TITUS #50A</t>
  </si>
  <si>
    <t>B: Ceiling Diffuser175 CFM
TITUS #50A</t>
  </si>
  <si>
    <t>B: Ceiling Diffuser260 CFM
TITUS #50A</t>
  </si>
  <si>
    <t>C: Ceiling Diffuser 395 CFM
TITUS #355RL</t>
  </si>
  <si>
    <t>EXHAUST FANS</t>
  </si>
  <si>
    <t>EF-1: Exhaust Fan 250 CFM, 25 LBS
GREENHECK #CSP-A390-VG</t>
  </si>
  <si>
    <t>EF-2: Exhaust Fan 75 CFM, 15 LBS
GREENHECK #SP-B150</t>
  </si>
  <si>
    <t>EF-3: Exhaust Fan 75 CFM, 15 LBS
GREENHECK #SP-B150</t>
  </si>
  <si>
    <t>EF-4: Exhaust Fan 75 CFM, 15 LBS
GREENHECK #SP-B150</t>
  </si>
  <si>
    <t>EF-5: Exhaust Fan 250 CFM, 25 LBS
GREENHECK #CSP-A390-VG</t>
  </si>
  <si>
    <t>SPLIT FAN COIL UNIT (INDOOR UNIT)</t>
  </si>
  <si>
    <t>FCU-1 Split Fan Unit
TOSHIBA CARRIER RAV-HB241 BTP-UL
775 CFM
2.0 TON
100 LBS</t>
  </si>
  <si>
    <t>FCU-2.1 Split Fan Unit
TOSHIBA CARRIER RAV-HB241 BTP-UL
775 CFM
2.0 TON
100 LBS</t>
  </si>
  <si>
    <t>FCU-2.2 Split Fan Unit
TOSHIBA CARRIER RAV-HB241 BTP-UL
775 CFM
2.0 TON
100 LBS</t>
  </si>
  <si>
    <t>FCU-3 Split Fan Unit
TOSHIBA CARRIER RAV-HB121 BTP-UL
395 CFM
1.0 TON
80 LBS</t>
  </si>
  <si>
    <t>FCU 4.1 Split Fan Unit
TOSHIBA CARRIER RAV-HB121 BTP-UL
395 CFM
1.0 TON
80 LBS</t>
  </si>
  <si>
    <t>FCU-4.2 Split Fan Unit
TOSHIBA CARRIER RAV-HB241 BTP-UL
775 CFM
2.0 TON
100 LBS</t>
  </si>
  <si>
    <t>FCU-5.1 Split Fan Unit
TOSHIBA CARRIER RAV-HB301 BTP-UL
990 CFM
2.5 TON
135 LBS</t>
  </si>
  <si>
    <t>FCU-5.2 Split Fan Unit
TOSHIBA CARRIER RAV-HB301 BTP-UL
990 CFM
2.5 TON
135 LBS</t>
  </si>
  <si>
    <t>FCU-6 Split Fan Unit
TOSHIBA CARRIER RAV-HB121 BTP-UL
395 CFM
1.0 TON
80 LBS</t>
  </si>
  <si>
    <t>FCU-7 Split Fan Unit
TOSHIBA CARRIER RAV-HB121 BTP-UL
395 CFM
1.0 TON
80 LBS</t>
  </si>
  <si>
    <t>CONDENSING UNIT (OUTDOOR UNIT)</t>
  </si>
  <si>
    <t>CU-1: Condensing Unit 140 LBS
TOSHIBA CARRIER #RAV-BP241AT2P-UL</t>
  </si>
  <si>
    <t>CU-2.1: Condensing Unit 140 LBS
TOSHIBA CARRIER #RAV-BP241AT2P-UL</t>
  </si>
  <si>
    <t>CU-2.2: Condensing Unit 140 LBS
TOSHIBA CARRIER #RAV-BP241AT2P-UL</t>
  </si>
  <si>
    <t>CU-3: Condensing Unit 85 LBS
TOSHIBA CARRIER #RAV-BP121AT2P-UL</t>
  </si>
  <si>
    <t>CU-4.1: Condensing Unit 85 LBS
TOSHIBA CARRIER #RAV-BP121AT2P-UL</t>
  </si>
  <si>
    <t>CU-4.2: Condensing Unit 140 LBS
TOSHIBA CARRIER #RAV-BP241AT2P-UL</t>
  </si>
  <si>
    <t>CU-5.1: Condensing Unit 220 LBS
TOSHIBA CARRIER #RAV-BP301AT2P-UL</t>
  </si>
  <si>
    <t>CU-5.2: Condensing Unit 220 LBS
TOSHIBA CARRIER #RAV-BP301AT2P-UL</t>
  </si>
  <si>
    <t>CU-6: Condensing Unit 85 LBS
TOSHIBA CARRIER #RAV-BP121AT2P-UL</t>
  </si>
  <si>
    <t>CU-7: Condensing Unit 85 LBS
TOSHIBA CARRIER #RAV-BP121AT2P-UL</t>
  </si>
  <si>
    <t>DUCT FITTINGS</t>
  </si>
  <si>
    <t>45 Deg Elbow</t>
  </si>
  <si>
    <t>90 Deg Elbow</t>
  </si>
  <si>
    <t>Duct Transition</t>
  </si>
  <si>
    <t>Branch Duct Takeoff</t>
  </si>
  <si>
    <t>ROUND DUCTS</t>
  </si>
  <si>
    <t>4" Dia Round Duct</t>
  </si>
  <si>
    <t>6" Dia Round Duct</t>
  </si>
  <si>
    <t>7" Dia Round Duct</t>
  </si>
  <si>
    <t>8" Dia Round Duct</t>
  </si>
  <si>
    <t>10" Dia Round Duct</t>
  </si>
  <si>
    <t>12" Dia Round Duct</t>
  </si>
  <si>
    <t>RECTANGULAR DUCTS</t>
  </si>
  <si>
    <t>12" X 12" Rectangular Duct</t>
  </si>
  <si>
    <t>8" X 8" Rectangular Duct</t>
  </si>
  <si>
    <t>12" X 8" Rectangular Duct</t>
  </si>
  <si>
    <t>12" X 14" Rectangular Duct</t>
  </si>
  <si>
    <t>16" X 6" Rectangular Duct</t>
  </si>
  <si>
    <t>12" X 6" Rectangular Duct</t>
  </si>
  <si>
    <t>16" X 8" Rectangular Duct</t>
  </si>
  <si>
    <t>10" X 10" Rectangular Duct</t>
  </si>
  <si>
    <t>10" X 8" Rectangular Duct</t>
  </si>
  <si>
    <t>37" X 14" Rectangular Duct</t>
  </si>
  <si>
    <t>22" X 8" Rectangular Duct</t>
  </si>
  <si>
    <t>14" X 8" Rectangular Duct</t>
  </si>
  <si>
    <t>INSULATION</t>
  </si>
  <si>
    <t>1" Thick Insulation @ Ducts</t>
  </si>
  <si>
    <t>DIVISION 26- ELECTRICAL</t>
  </si>
  <si>
    <t>LIGHTING FIXTURES</t>
  </si>
  <si>
    <t>E0.2, E2.1, E2.2 &amp; E 2.3</t>
  </si>
  <si>
    <t>(24" X 48") Fluroscent Recessed Light</t>
  </si>
  <si>
    <t>(24" X 48") Fluroscent Recessed Light W/ Emergency Backup</t>
  </si>
  <si>
    <t>(24" X 24") Fluroscent Recessed Light</t>
  </si>
  <si>
    <t>(24" X 24") Fluroscent Recessed Light W/ Emergency Backup</t>
  </si>
  <si>
    <t>(12" X 48") Fluroscent Recessed Light</t>
  </si>
  <si>
    <t>Exit Sign</t>
  </si>
  <si>
    <t>Exterior Light</t>
  </si>
  <si>
    <t>Recessed Light</t>
  </si>
  <si>
    <t>Exterior Recessed Light</t>
  </si>
  <si>
    <t>Ceiling Light</t>
  </si>
  <si>
    <t>Emergency Light Fixture</t>
  </si>
  <si>
    <t>36" Dia Chandlier</t>
  </si>
  <si>
    <t>24" Dia Chandlier</t>
  </si>
  <si>
    <t>LIGHTING CONTROLS</t>
  </si>
  <si>
    <t>1-Way Switch</t>
  </si>
  <si>
    <t>Dimmer Switch</t>
  </si>
  <si>
    <t>Vacancy Sensor Switch</t>
  </si>
  <si>
    <t>Occupancy Sensor</t>
  </si>
  <si>
    <t>POWER DEVICES</t>
  </si>
  <si>
    <t>Junction Box</t>
  </si>
  <si>
    <t>Toggle Switch</t>
  </si>
  <si>
    <t>Double Duplex Receptacle</t>
  </si>
  <si>
    <t>Duplex Receptacle</t>
  </si>
  <si>
    <t>GFCI Duplex Receptacle</t>
  </si>
  <si>
    <t>GD Duplex Receptacle</t>
  </si>
  <si>
    <t>NON-FUSIBLE NEMA 3R DISCONNECT SWITCH, 60AMP, 2POLE, 240 VOLT</t>
  </si>
  <si>
    <t>NON-FUSIBLE NEMA 3R DISCONNECT SWITCH, 40AMP, POLE, 240 VOLT</t>
  </si>
  <si>
    <t>EQUIPMENT CONNECTIONS</t>
  </si>
  <si>
    <t>Connection for FCU-7</t>
  </si>
  <si>
    <t>Connection for FCU-6</t>
  </si>
  <si>
    <t>Connection for FCU-5.1</t>
  </si>
  <si>
    <t>Connection for FCU-1</t>
  </si>
  <si>
    <t>Connection for FCU-5.2</t>
  </si>
  <si>
    <t>Connection for FCU-2.2</t>
  </si>
  <si>
    <t>Connection for FCU-4.2</t>
  </si>
  <si>
    <t>Connection for CP-1</t>
  </si>
  <si>
    <t>Connection for FCU-2.1</t>
  </si>
  <si>
    <t>Connection for FCU-4.1</t>
  </si>
  <si>
    <t>Connection for FCU-3</t>
  </si>
  <si>
    <t>Connection for CU-1</t>
  </si>
  <si>
    <t>Connection for CU-2.1</t>
  </si>
  <si>
    <t>Connection for CU-2.2</t>
  </si>
  <si>
    <t>Connection for CU-3</t>
  </si>
  <si>
    <t>Connection for CU-4.1</t>
  </si>
  <si>
    <t>Connection for CU-4.2</t>
  </si>
  <si>
    <t>Connection for CU-5.1</t>
  </si>
  <si>
    <t>Connection for CU-5.2</t>
  </si>
  <si>
    <t>Connection for CU-6</t>
  </si>
  <si>
    <t>Connection for CU-7</t>
  </si>
  <si>
    <t>PANELS &amp; BREAKERS</t>
  </si>
  <si>
    <t>(VL) Panel LA1: 100A, 240/120V, 3W, 1P, 10KAIC, MLO</t>
  </si>
  <si>
    <t>Panel LA: 200A, 240/120V, 3W, 1P, 10KAIC, MCB</t>
  </si>
  <si>
    <t>Panel PA: 200A, 240/120V, 3W, 1P, 10KAIC, MCB</t>
  </si>
  <si>
    <t>20A/1P Circuit Breaker</t>
  </si>
  <si>
    <t>25A/2P Circuit Breaker</t>
  </si>
  <si>
    <t>40A/2P Circuit Breaker</t>
  </si>
  <si>
    <t>60A/2P Circuit Breaker</t>
  </si>
  <si>
    <t>LOW VOLTAGE</t>
  </si>
  <si>
    <t>Bell</t>
  </si>
  <si>
    <t>Door Strike</t>
  </si>
  <si>
    <t>Push Button</t>
  </si>
  <si>
    <t>Data Outlet</t>
  </si>
  <si>
    <t>Tele/ Data Outlet</t>
  </si>
  <si>
    <t>Fire Alarm Pull Station</t>
  </si>
  <si>
    <t>ALLOWENCE</t>
  </si>
  <si>
    <t>Allownce for Conduits</t>
  </si>
  <si>
    <t>Allownce for Wiring</t>
  </si>
  <si>
    <t>TOTAL LABOR HOURS</t>
  </si>
  <si>
    <t>TOTAL AMOUNT</t>
  </si>
  <si>
    <t>CONTIGENCIES (5%)</t>
  </si>
  <si>
    <t>OVERHEAD &amp; PROFIT (10%)</t>
  </si>
  <si>
    <t>Labor Type</t>
  </si>
  <si>
    <t>Labor Rate</t>
  </si>
  <si>
    <t>Carpenter</t>
  </si>
  <si>
    <t>CARP</t>
  </si>
  <si>
    <t>Plum</t>
  </si>
  <si>
    <t>Mechanical</t>
  </si>
  <si>
    <t>Mech</t>
  </si>
  <si>
    <t>Elec</t>
  </si>
  <si>
    <t>Drywaller</t>
  </si>
  <si>
    <t>Finisher</t>
  </si>
  <si>
    <t>Painting</t>
  </si>
  <si>
    <t>Painter</t>
  </si>
  <si>
    <t>Tile Contractor</t>
  </si>
  <si>
    <t>Tilf</t>
  </si>
  <si>
    <t>B14S</t>
  </si>
  <si>
    <t>Roofing</t>
  </si>
  <si>
    <t>Roofer</t>
  </si>
  <si>
    <t>Genral Labor</t>
  </si>
  <si>
    <t>Labor</t>
  </si>
  <si>
    <t>Each/Count</t>
  </si>
  <si>
    <t>Linear Footage</t>
  </si>
  <si>
    <t>Square Footage</t>
  </si>
  <si>
    <t>Square Yard</t>
  </si>
  <si>
    <t>SY</t>
  </si>
  <si>
    <t>Cubic Yard</t>
  </si>
  <si>
    <t>Lumpsum</t>
  </si>
  <si>
    <t>Survery</t>
  </si>
  <si>
    <t>Survey</t>
  </si>
  <si>
    <t>Stair Riser</t>
  </si>
  <si>
    <t>RISER</t>
  </si>
  <si>
    <t>Blocks Count</t>
  </si>
  <si>
    <t>BLOCKS</t>
  </si>
  <si>
    <t>Bags of Pre-Mix Mortar</t>
  </si>
  <si>
    <t>BAGS</t>
  </si>
  <si>
    <t>Linear Footage of Wall</t>
  </si>
  <si>
    <t>LF.Wall</t>
  </si>
  <si>
    <t>Pounds</t>
  </si>
  <si>
    <t>LBS</t>
  </si>
  <si>
    <t>Pieces</t>
  </si>
  <si>
    <t>PCs</t>
  </si>
  <si>
    <t>Location</t>
  </si>
  <si>
    <t>LOC</t>
  </si>
  <si>
    <t>Bundle</t>
  </si>
  <si>
    <t>Rolls</t>
  </si>
  <si>
    <t>ROLLS</t>
  </si>
  <si>
    <t>Boxes</t>
  </si>
  <si>
    <t>BOX</t>
  </si>
  <si>
    <t>Holeses</t>
  </si>
  <si>
    <t>Holes</t>
  </si>
  <si>
    <t>PC</t>
  </si>
  <si>
    <t>Tubes</t>
  </si>
  <si>
    <t>Tube</t>
  </si>
  <si>
    <t>Gallons</t>
  </si>
  <si>
    <t>GA</t>
  </si>
  <si>
    <t>Square of Roofing</t>
  </si>
  <si>
    <t>SQ</t>
  </si>
  <si>
    <t>N/A</t>
  </si>
  <si>
    <t>NOTE:</t>
  </si>
  <si>
    <t>Prevailing wages have been included in this estimate in compliance with the Davis-Bacon Act.</t>
  </si>
  <si>
    <t>Material pricing is based on current market rates sourced from reputable online platforms and suppliers.</t>
  </si>
  <si>
    <t>Please note that actual costs may vary depending on site-specific conditions, unforeseen circumstances, or changes in market conditions.</t>
  </si>
  <si>
    <t>ABC</t>
  </si>
  <si>
    <t>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</si>
</sst>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000000"/>
    <numFmt numFmtId="168" formatCode="0_ "/>
    <numFmt numFmtId="169" formatCode="0.000"/>
    <numFmt numFmtId="170" formatCode="0.0"/>
    <numFmt numFmtId="171" formatCode="_(&quot;$&quot;* #,##0.0_);_(&quot;$&quot;* \(#,##0.0\);_(&quot;$&quot;* &quot;-&quot;??_);_(@_)"/>
    <numFmt numFmtId="172" formatCode="[$-409]d/mmm/yy;@"/>
    <numFmt numFmtId="173" formatCode="0.0%"/>
    <numFmt numFmtId="174" formatCode="_-[$$-409]* #,##0_ ;_-[$$-409]* \-#,##0\ ;_-[$$-409]* &quot;-&quot;??_ ;_-@_ "/>
    <numFmt numFmtId="175" formatCode="_-* #,##0.00_-;\-* #,##0.00_-;_-* &quot;-&quot;??_-;_-@_-"/>
  </numFmts>
  <fonts count="42">
    <font>
      <sz val="11"/>
      <color theme="1"/>
      <name val="Tw Cen MT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b/>
      <i/>
      <sz val="11"/>
      <color theme="1"/>
      <name val="Calibri"/>
      <charset val="134"/>
    </font>
    <font>
      <b/>
      <i/>
      <sz val="12"/>
      <color theme="1"/>
      <name val="Calibri"/>
      <charset val="134"/>
    </font>
    <font>
      <b/>
      <sz val="10"/>
      <color rgb="FFFF0000"/>
      <name val="Calibri"/>
      <charset val="134"/>
    </font>
    <font>
      <sz val="10"/>
      <color theme="1"/>
      <name val="Calibri"/>
      <charset val="134"/>
    </font>
    <font>
      <sz val="12"/>
      <color theme="1"/>
      <name val="Calibri"/>
      <charset val="134"/>
    </font>
    <font>
      <sz val="12"/>
      <color indexed="8"/>
      <name val="Calibri"/>
      <charset val="134"/>
    </font>
    <font>
      <sz val="12"/>
      <color rgb="FF000000"/>
      <name val="Calibri"/>
      <charset val="134"/>
    </font>
    <font>
      <b/>
      <sz val="14"/>
      <color theme="0"/>
      <name val="Calibri"/>
      <charset val="134"/>
    </font>
    <font>
      <b/>
      <sz val="14"/>
      <color theme="1"/>
      <name val="Calibri"/>
      <charset val="134"/>
    </font>
    <font>
      <sz val="12"/>
      <name val="Calibri"/>
      <charset val="134"/>
    </font>
    <font>
      <b/>
      <sz val="12"/>
      <color theme="1"/>
      <name val="Calibri"/>
      <charset val="134"/>
    </font>
    <font>
      <sz val="12"/>
      <color theme="1"/>
      <name val="Calibri"/>
      <charset val="134"/>
    </font>
    <font>
      <b/>
      <sz val="14"/>
      <name val="Calibri"/>
      <charset val="134"/>
    </font>
    <font>
      <b/>
      <sz val="12"/>
      <color rgb="FF009A88"/>
      <name val="Calibri"/>
      <charset val="134"/>
    </font>
    <font>
      <sz val="12"/>
      <color rgb="FFFFFFFF"/>
      <name val="Calibri"/>
      <charset val="134"/>
    </font>
    <font>
      <b/>
      <sz val="12"/>
      <color rgb="FFFFFFFF"/>
      <name val="Calibri"/>
      <charset val="134"/>
    </font>
    <font>
      <sz val="12"/>
      <color indexed="9"/>
      <name val="Calibri"/>
      <charset val="134"/>
    </font>
    <font>
      <b/>
      <sz val="12"/>
      <color indexed="9"/>
      <name val="Calibri"/>
      <charset val="134"/>
    </font>
    <font>
      <i/>
      <sz val="12"/>
      <color rgb="FFFF0000"/>
      <name val="Calibri"/>
      <charset val="134"/>
    </font>
    <font>
      <b/>
      <sz val="12"/>
      <color indexed="8"/>
      <name val="Calibri"/>
      <charset val="134"/>
    </font>
    <font>
      <b/>
      <sz val="12"/>
      <name val="Calibri"/>
      <charset val="134"/>
    </font>
    <font>
      <b/>
      <sz val="12"/>
      <color theme="6"/>
      <name val="Calibri"/>
      <charset val="134"/>
    </font>
    <font>
      <b/>
      <sz val="12"/>
      <color rgb="FF0000CC"/>
      <name val="Calibri"/>
      <charset val="134"/>
    </font>
    <font>
      <b/>
      <sz val="12"/>
      <color rgb="FF000000"/>
      <name val="Calibri"/>
      <charset val="134"/>
    </font>
    <font>
      <sz val="12"/>
      <color rgb="FF0C0C0C"/>
      <name val="Calibri"/>
      <charset val="134"/>
    </font>
    <font>
      <b/>
      <sz val="12"/>
      <color rgb="FF0C0C0C"/>
      <name val="Calibri"/>
      <charset val="134"/>
    </font>
    <font>
      <u/>
      <sz val="12"/>
      <color indexed="10"/>
      <name val="Calibri"/>
      <charset val="134"/>
    </font>
    <font>
      <sz val="12"/>
      <color rgb="FF000000"/>
      <name val="Calibri"/>
      <charset val="134"/>
    </font>
    <font>
      <sz val="12"/>
      <color indexed="8"/>
      <name val="Calibri"/>
      <charset val="134"/>
    </font>
    <font>
      <b/>
      <sz val="11"/>
      <color rgb="FF000000"/>
      <name val="Calibri"/>
      <charset val="134"/>
    </font>
    <font>
      <sz val="16"/>
      <color rgb="FFFFFFFF"/>
      <name val="Calibri"/>
      <charset val="134"/>
    </font>
    <font>
      <sz val="14"/>
      <color rgb="FFFFFFFF"/>
      <name val="Calibri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name val="Arial"/>
      <charset val="134"/>
    </font>
    <font>
      <sz val="11"/>
      <color rgb="FF000000"/>
      <name val="Calibri"/>
      <charset val="134"/>
    </font>
    <font>
      <b/>
      <sz val="12"/>
      <color theme="1"/>
      <name val="Tw Cen MT"/>
      <charset val="134"/>
      <scheme val="minor"/>
    </font>
    <font>
      <sz val="12"/>
      <color rgb="FFFF0000"/>
      <name val="Calibri"/>
      <charset val="134"/>
    </font>
    <font>
      <sz val="11"/>
      <color theme="1"/>
      <name val="Tw Cen MT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496A"/>
        <bgColor indexed="64"/>
      </patternFill>
    </fill>
    <fill>
      <patternFill patternType="solid">
        <fgColor rgb="FF366092"/>
        <bgColor rgb="FF366092"/>
      </patternFill>
    </fill>
    <fill>
      <patternFill patternType="solid">
        <fgColor rgb="FF36609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DAEEF3"/>
        <bgColor rgb="FFDAEEF3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6DDE8"/>
        <bgColor rgb="FFB6DDE8"/>
      </patternFill>
    </fill>
    <fill>
      <patternFill patternType="solid">
        <fgColor rgb="FF92CDDC"/>
        <bgColor rgb="FF92CDDC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B2B2B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3">
    <xf numFmtId="0" fontId="0" fillId="0" borderId="0"/>
    <xf numFmtId="44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41" fillId="17" borderId="43" applyNumberFormat="0" applyFont="0" applyAlignment="0" applyProtection="0"/>
    <xf numFmtId="44" fontId="4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41" fillId="0" borderId="0" applyFont="0" applyFill="0" applyBorder="0" applyAlignment="0" applyProtection="0"/>
    <xf numFmtId="0" fontId="41" fillId="0" borderId="0"/>
    <xf numFmtId="0" fontId="37" fillId="0" borderId="0"/>
    <xf numFmtId="0" fontId="38" fillId="0" borderId="0">
      <protection locked="0"/>
    </xf>
    <xf numFmtId="9" fontId="37" fillId="0" borderId="0" applyFont="0" applyFill="0" applyBorder="0" applyAlignment="0" applyProtection="0"/>
    <xf numFmtId="9" fontId="41" fillId="0" borderId="0" applyFont="0" applyFill="0" applyBorder="0" applyAlignment="0" applyProtection="0"/>
    <xf numFmtId="1" fontId="39" fillId="2" borderId="15">
      <alignment horizontal="center" vertical="center"/>
    </xf>
  </cellStyleXfs>
  <cellXfs count="366">
    <xf numFmtId="0" fontId="0" fillId="0" borderId="0" xfId="0"/>
    <xf numFmtId="0" fontId="1" fillId="2" borderId="0" xfId="7" applyFont="1" applyFill="1"/>
    <xf numFmtId="0" fontId="2" fillId="2" borderId="0" xfId="7" applyFont="1" applyFill="1"/>
    <xf numFmtId="0" fontId="3" fillId="2" borderId="0" xfId="7" applyFont="1" applyFill="1"/>
    <xf numFmtId="0" fontId="4" fillId="3" borderId="1" xfId="7" applyFont="1" applyFill="1" applyBorder="1" applyAlignment="1">
      <alignment horizontal="center"/>
    </xf>
    <xf numFmtId="0" fontId="4" fillId="3" borderId="2" xfId="7" applyFont="1" applyFill="1" applyBorder="1" applyAlignment="1">
      <alignment horizontal="center"/>
    </xf>
    <xf numFmtId="0" fontId="3" fillId="4" borderId="3" xfId="7" applyFont="1" applyFill="1" applyBorder="1" applyAlignment="1">
      <alignment horizontal="right"/>
    </xf>
    <xf numFmtId="0" fontId="4" fillId="4" borderId="4" xfId="7" applyFont="1" applyFill="1" applyBorder="1"/>
    <xf numFmtId="44" fontId="4" fillId="4" borderId="5" xfId="6" applyFont="1" applyFill="1" applyBorder="1"/>
    <xf numFmtId="0" fontId="3" fillId="4" borderId="6" xfId="7" applyFont="1" applyFill="1" applyBorder="1" applyAlignment="1">
      <alignment horizontal="right"/>
    </xf>
    <xf numFmtId="0" fontId="4" fillId="4" borderId="0" xfId="7" applyFont="1" applyFill="1"/>
    <xf numFmtId="44" fontId="4" fillId="4" borderId="7" xfId="6" applyFont="1" applyFill="1" applyBorder="1"/>
    <xf numFmtId="0" fontId="3" fillId="4" borderId="8" xfId="7" applyFont="1" applyFill="1" applyBorder="1" applyAlignment="1">
      <alignment horizontal="right"/>
    </xf>
    <xf numFmtId="0" fontId="4" fillId="4" borderId="9" xfId="7" applyFont="1" applyFill="1" applyBorder="1"/>
    <xf numFmtId="166" fontId="4" fillId="4" borderId="10" xfId="6" applyNumberFormat="1" applyFont="1" applyFill="1" applyBorder="1"/>
    <xf numFmtId="0" fontId="4" fillId="5" borderId="3" xfId="7" applyFont="1" applyFill="1" applyBorder="1" applyAlignment="1">
      <alignment horizontal="right"/>
    </xf>
    <xf numFmtId="0" fontId="4" fillId="5" borderId="4" xfId="7" applyFont="1" applyFill="1" applyBorder="1"/>
    <xf numFmtId="9" fontId="4" fillId="5" borderId="5" xfId="11" applyFont="1" applyFill="1" applyBorder="1"/>
    <xf numFmtId="0" fontId="4" fillId="5" borderId="6" xfId="7" applyFont="1" applyFill="1" applyBorder="1"/>
    <xf numFmtId="0" fontId="4" fillId="5" borderId="0" xfId="7" applyFont="1" applyFill="1"/>
    <xf numFmtId="9" fontId="4" fillId="5" borderId="7" xfId="11" applyFont="1" applyFill="1" applyBorder="1"/>
    <xf numFmtId="0" fontId="4" fillId="5" borderId="8" xfId="7" applyFont="1" applyFill="1" applyBorder="1"/>
    <xf numFmtId="0" fontId="4" fillId="5" borderId="9" xfId="7" applyFont="1" applyFill="1" applyBorder="1"/>
    <xf numFmtId="9" fontId="4" fillId="5" borderId="10" xfId="11" applyFont="1" applyFill="1" applyBorder="1"/>
    <xf numFmtId="0" fontId="5" fillId="2" borderId="0" xfId="7" applyFont="1" applyFill="1"/>
    <xf numFmtId="0" fontId="6" fillId="2" borderId="0" xfId="7" applyFont="1" applyFill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7" fillId="2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3" fontId="16" fillId="2" borderId="0" xfId="0" applyNumberFormat="1" applyFont="1" applyFill="1" applyAlignment="1">
      <alignment horizontal="left" vertical="center" wrapText="1"/>
    </xf>
    <xf numFmtId="167" fontId="17" fillId="8" borderId="12" xfId="0" applyNumberFormat="1" applyFont="1" applyFill="1" applyBorder="1" applyAlignment="1">
      <alignment horizontal="center" vertical="center" wrapText="1"/>
    </xf>
    <xf numFmtId="167" fontId="17" fillId="8" borderId="13" xfId="0" applyNumberFormat="1" applyFont="1" applyFill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 wrapText="1"/>
    </xf>
    <xf numFmtId="167" fontId="19" fillId="9" borderId="14" xfId="0" applyNumberFormat="1" applyFont="1" applyFill="1" applyBorder="1" applyAlignment="1">
      <alignment horizontal="center" vertical="center" wrapText="1"/>
    </xf>
    <xf numFmtId="167" fontId="19" fillId="9" borderId="15" xfId="0" applyNumberFormat="1" applyFont="1" applyFill="1" applyBorder="1" applyAlignment="1">
      <alignment horizontal="center" vertical="center" wrapText="1"/>
    </xf>
    <xf numFmtId="167" fontId="17" fillId="8" borderId="15" xfId="0" applyNumberFormat="1" applyFont="1" applyFill="1" applyBorder="1" applyAlignment="1">
      <alignment horizontal="center" vertical="center" wrapText="1"/>
    </xf>
    <xf numFmtId="0" fontId="20" fillId="9" borderId="15" xfId="0" applyFont="1" applyFill="1" applyBorder="1" applyAlignment="1">
      <alignment horizontal="left" vertical="center" wrapText="1"/>
    </xf>
    <xf numFmtId="1" fontId="12" fillId="2" borderId="12" xfId="3" applyNumberFormat="1" applyFont="1" applyFill="1" applyBorder="1" applyAlignment="1">
      <alignment horizontal="center" vertical="center"/>
    </xf>
    <xf numFmtId="1" fontId="12" fillId="2" borderId="16" xfId="3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9" fontId="7" fillId="0" borderId="13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1" fontId="12" fillId="2" borderId="14" xfId="3" applyNumberFormat="1" applyFont="1" applyFill="1" applyBorder="1" applyAlignment="1">
      <alignment horizontal="center" vertical="center"/>
    </xf>
    <xf numFmtId="1" fontId="12" fillId="2" borderId="17" xfId="3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9" fontId="7" fillId="0" borderId="15" xfId="0" applyNumberFormat="1" applyFont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9" fontId="7" fillId="0" borderId="18" xfId="0" applyNumberFormat="1" applyFont="1" applyBorder="1" applyAlignment="1">
      <alignment horizontal="center" vertical="center"/>
    </xf>
    <xf numFmtId="1" fontId="7" fillId="0" borderId="18" xfId="0" applyNumberFormat="1" applyFont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21" fillId="0" borderId="18" xfId="0" applyFont="1" applyBorder="1" applyAlignment="1">
      <alignment horizontal="left"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22" fillId="0" borderId="21" xfId="0" applyFont="1" applyBorder="1" applyAlignment="1">
      <alignment horizontal="right" vertical="center" wrapText="1"/>
    </xf>
    <xf numFmtId="0" fontId="13" fillId="0" borderId="22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1" fontId="12" fillId="0" borderId="20" xfId="3" applyNumberFormat="1" applyFont="1" applyFill="1" applyBorder="1" applyAlignment="1">
      <alignment horizontal="center" vertical="center"/>
    </xf>
    <xf numFmtId="0" fontId="22" fillId="10" borderId="15" xfId="0" applyFont="1" applyFill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168" fontId="7" fillId="0" borderId="13" xfId="0" applyNumberFormat="1" applyFont="1" applyBorder="1" applyAlignment="1">
      <alignment horizontal="center" vertical="center"/>
    </xf>
    <xf numFmtId="168" fontId="7" fillId="0" borderId="15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3" fillId="2" borderId="0" xfId="0" applyFont="1" applyFill="1" applyAlignment="1">
      <alignment horizontal="right" vertical="center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169" fontId="9" fillId="0" borderId="15" xfId="0" applyNumberFormat="1" applyFont="1" applyBorder="1" applyAlignment="1">
      <alignment horizontal="center" vertical="center"/>
    </xf>
    <xf numFmtId="170" fontId="9" fillId="0" borderId="15" xfId="0" applyNumberFormat="1" applyFont="1" applyBorder="1" applyAlignment="1">
      <alignment horizontal="center" vertical="center"/>
    </xf>
    <xf numFmtId="44" fontId="7" fillId="0" borderId="15" xfId="1" applyFont="1" applyBorder="1" applyAlignment="1" applyProtection="1">
      <alignment horizontal="center" vertical="center"/>
    </xf>
    <xf numFmtId="171" fontId="7" fillId="0" borderId="15" xfId="0" applyNumberFormat="1" applyFont="1" applyBorder="1" applyAlignment="1">
      <alignment horizontal="left" vertical="center"/>
    </xf>
    <xf numFmtId="169" fontId="9" fillId="0" borderId="18" xfId="0" applyNumberFormat="1" applyFont="1" applyBorder="1" applyAlignment="1">
      <alignment horizontal="center" vertical="center"/>
    </xf>
    <xf numFmtId="170" fontId="9" fillId="0" borderId="18" xfId="0" applyNumberFormat="1" applyFont="1" applyBorder="1" applyAlignment="1">
      <alignment horizontal="center" vertical="center"/>
    </xf>
    <xf numFmtId="44" fontId="7" fillId="0" borderId="18" xfId="1" applyFont="1" applyBorder="1" applyAlignment="1" applyProtection="1">
      <alignment horizontal="center" vertical="center"/>
    </xf>
    <xf numFmtId="171" fontId="7" fillId="0" borderId="18" xfId="0" applyNumberFormat="1" applyFont="1" applyBorder="1" applyAlignment="1">
      <alignment horizontal="left" vertical="center"/>
    </xf>
    <xf numFmtId="44" fontId="13" fillId="0" borderId="22" xfId="1" applyFont="1" applyFill="1" applyBorder="1" applyAlignment="1">
      <alignment horizontal="right" vertical="center"/>
    </xf>
    <xf numFmtId="44" fontId="7" fillId="0" borderId="15" xfId="1" applyFont="1" applyFill="1" applyBorder="1" applyAlignment="1">
      <alignment horizontal="center" vertical="center"/>
    </xf>
    <xf numFmtId="172" fontId="15" fillId="2" borderId="7" xfId="0" applyNumberFormat="1" applyFont="1" applyFill="1" applyBorder="1" applyAlignment="1">
      <alignment horizontal="center" vertical="center" wrapText="1"/>
    </xf>
    <xf numFmtId="167" fontId="17" fillId="8" borderId="26" xfId="0" applyNumberFormat="1" applyFont="1" applyFill="1" applyBorder="1" applyAlignment="1">
      <alignment horizontal="center" vertical="center" wrapText="1"/>
    </xf>
    <xf numFmtId="167" fontId="19" fillId="9" borderId="27" xfId="0" applyNumberFormat="1" applyFont="1" applyFill="1" applyBorder="1" applyAlignment="1">
      <alignment horizontal="center" vertical="center" wrapText="1"/>
    </xf>
    <xf numFmtId="44" fontId="7" fillId="0" borderId="28" xfId="0" applyNumberFormat="1" applyFont="1" applyBorder="1" applyAlignment="1">
      <alignment horizontal="center" vertical="center" wrapText="1"/>
    </xf>
    <xf numFmtId="44" fontId="7" fillId="2" borderId="0" xfId="0" applyNumberFormat="1" applyFont="1" applyFill="1" applyAlignment="1">
      <alignment vertical="center"/>
    </xf>
    <xf numFmtId="166" fontId="22" fillId="11" borderId="30" xfId="0" applyNumberFormat="1" applyFont="1" applyFill="1" applyBorder="1" applyAlignment="1">
      <alignment horizontal="center" vertical="center"/>
    </xf>
    <xf numFmtId="44" fontId="7" fillId="0" borderId="0" xfId="0" applyNumberFormat="1" applyFont="1" applyAlignment="1">
      <alignment vertical="center"/>
    </xf>
    <xf numFmtId="0" fontId="13" fillId="0" borderId="31" xfId="0" applyFont="1" applyBorder="1" applyAlignment="1">
      <alignment vertical="center"/>
    </xf>
    <xf numFmtId="0" fontId="8" fillId="0" borderId="0" xfId="0" applyFont="1" applyAlignment="1">
      <alignment horizontal="left"/>
    </xf>
    <xf numFmtId="44" fontId="7" fillId="0" borderId="27" xfId="0" applyNumberFormat="1" applyFont="1" applyBorder="1" applyAlignment="1">
      <alignment horizontal="center" vertical="center" wrapText="1"/>
    </xf>
    <xf numFmtId="166" fontId="7" fillId="0" borderId="26" xfId="0" applyNumberFormat="1" applyFont="1" applyBorder="1" applyAlignment="1">
      <alignment horizontal="center" vertical="center" wrapText="1"/>
    </xf>
    <xf numFmtId="1" fontId="12" fillId="0" borderId="15" xfId="3" applyNumberFormat="1" applyFont="1" applyFill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8" fillId="8" borderId="15" xfId="0" applyFont="1" applyFill="1" applyBorder="1" applyAlignment="1">
      <alignment horizontal="left" vertical="center" wrapText="1"/>
    </xf>
    <xf numFmtId="1" fontId="25" fillId="0" borderId="17" xfId="0" applyNumberFormat="1" applyFont="1" applyBorder="1" applyAlignment="1">
      <alignment horizontal="center" vertical="center"/>
    </xf>
    <xf numFmtId="0" fontId="25" fillId="0" borderId="15" xfId="0" applyFont="1" applyBorder="1" applyAlignment="1">
      <alignment horizontal="center"/>
    </xf>
    <xf numFmtId="0" fontId="13" fillId="0" borderId="34" xfId="0" applyFont="1" applyBorder="1" applyAlignment="1">
      <alignment horizontal="left" wrapText="1"/>
    </xf>
    <xf numFmtId="0" fontId="25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170" fontId="7" fillId="0" borderId="15" xfId="0" applyNumberFormat="1" applyFont="1" applyBorder="1" applyAlignment="1">
      <alignment horizontal="center" vertical="center"/>
    </xf>
    <xf numFmtId="1" fontId="12" fillId="2" borderId="15" xfId="3" applyNumberFormat="1" applyFont="1" applyFill="1" applyBorder="1" applyAlignment="1">
      <alignment vertical="center"/>
    </xf>
    <xf numFmtId="0" fontId="7" fillId="0" borderId="33" xfId="0" applyFont="1" applyBorder="1" applyAlignment="1">
      <alignment horizontal="left" vertical="center"/>
    </xf>
    <xf numFmtId="0" fontId="7" fillId="2" borderId="0" xfId="3" applyFont="1" applyFill="1" applyBorder="1" applyAlignment="1">
      <alignment horizontal="left" vertical="center" wrapText="1"/>
    </xf>
    <xf numFmtId="1" fontId="7" fillId="0" borderId="0" xfId="0" applyNumberFormat="1" applyFont="1" applyAlignment="1">
      <alignment horizontal="center" vertical="center"/>
    </xf>
    <xf numFmtId="9" fontId="12" fillId="2" borderId="0" xfId="2" applyFont="1" applyFill="1" applyBorder="1" applyAlignment="1">
      <alignment horizontal="center" vertical="center"/>
    </xf>
    <xf numFmtId="0" fontId="12" fillId="2" borderId="0" xfId="3" applyFont="1" applyFill="1" applyBorder="1" applyAlignment="1">
      <alignment horizontal="center" vertical="center"/>
    </xf>
    <xf numFmtId="0" fontId="18" fillId="8" borderId="13" xfId="0" applyFont="1" applyFill="1" applyBorder="1" applyAlignment="1">
      <alignment horizontal="left" vertical="center" wrapText="1"/>
    </xf>
    <xf numFmtId="167" fontId="19" fillId="9" borderId="13" xfId="0" applyNumberFormat="1" applyFont="1" applyFill="1" applyBorder="1" applyAlignment="1">
      <alignment horizontal="center" vertical="center" wrapText="1"/>
    </xf>
    <xf numFmtId="0" fontId="26" fillId="12" borderId="15" xfId="9" applyFont="1" applyFill="1" applyBorder="1" applyAlignment="1" applyProtection="1">
      <alignment horizontal="center"/>
    </xf>
    <xf numFmtId="9" fontId="27" fillId="0" borderId="1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169" fontId="12" fillId="2" borderId="17" xfId="3" applyNumberFormat="1" applyFont="1" applyFill="1" applyBorder="1" applyAlignment="1">
      <alignment horizontal="center" vertical="center"/>
    </xf>
    <xf numFmtId="1" fontId="12" fillId="2" borderId="14" xfId="3" applyNumberFormat="1" applyFont="1" applyFill="1" applyBorder="1" applyAlignment="1">
      <alignment horizontal="center" vertical="center" wrapText="1"/>
    </xf>
    <xf numFmtId="1" fontId="12" fillId="2" borderId="17" xfId="3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9" fontId="7" fillId="0" borderId="15" xfId="0" applyNumberFormat="1" applyFont="1" applyBorder="1" applyAlignment="1">
      <alignment horizontal="center" vertical="center" wrapText="1"/>
    </xf>
    <xf numFmtId="1" fontId="12" fillId="2" borderId="19" xfId="3" applyNumberFormat="1" applyFont="1" applyFill="1" applyBorder="1" applyAlignment="1">
      <alignment horizontal="center" vertical="center" wrapText="1"/>
    </xf>
    <xf numFmtId="1" fontId="7" fillId="0" borderId="17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0" fontId="7" fillId="0" borderId="22" xfId="0" applyFont="1" applyBorder="1" applyAlignment="1">
      <alignment vertical="center"/>
    </xf>
    <xf numFmtId="169" fontId="7" fillId="0" borderId="15" xfId="0" applyNumberFormat="1" applyFont="1" applyBorder="1" applyAlignment="1">
      <alignment horizontal="center" vertical="center"/>
    </xf>
    <xf numFmtId="44" fontId="7" fillId="0" borderId="15" xfId="1" applyFont="1" applyBorder="1" applyAlignment="1">
      <alignment horizontal="center" vertical="center"/>
    </xf>
    <xf numFmtId="170" fontId="9" fillId="0" borderId="15" xfId="0" applyNumberFormat="1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166" fontId="22" fillId="0" borderId="22" xfId="0" applyNumberFormat="1" applyFont="1" applyBorder="1" applyAlignment="1">
      <alignment horizontal="center" vertical="center"/>
    </xf>
    <xf numFmtId="171" fontId="22" fillId="0" borderId="22" xfId="0" applyNumberFormat="1" applyFont="1" applyBorder="1" applyAlignment="1">
      <alignment vertical="center"/>
    </xf>
    <xf numFmtId="169" fontId="7" fillId="0" borderId="0" xfId="0" applyNumberFormat="1" applyFont="1" applyAlignment="1">
      <alignment horizontal="center" vertical="center"/>
    </xf>
    <xf numFmtId="44" fontId="12" fillId="2" borderId="0" xfId="1" applyFont="1" applyFill="1" applyBorder="1" applyAlignment="1" applyProtection="1">
      <alignment horizontal="center" vertical="center"/>
    </xf>
    <xf numFmtId="169" fontId="9" fillId="0" borderId="15" xfId="0" applyNumberFormat="1" applyFont="1" applyBorder="1" applyAlignment="1">
      <alignment horizontal="center" vertical="center" wrapText="1"/>
    </xf>
    <xf numFmtId="170" fontId="9" fillId="0" borderId="15" xfId="0" applyNumberFormat="1" applyFont="1" applyBorder="1" applyAlignment="1">
      <alignment horizontal="center" vertical="center" wrapText="1"/>
    </xf>
    <xf numFmtId="171" fontId="7" fillId="0" borderId="15" xfId="0" applyNumberFormat="1" applyFont="1" applyBorder="1" applyAlignment="1">
      <alignment horizontal="left" vertical="center" wrapText="1"/>
    </xf>
    <xf numFmtId="44" fontId="7" fillId="0" borderId="15" xfId="1" applyFont="1" applyBorder="1" applyAlignment="1" applyProtection="1">
      <alignment horizontal="center" vertical="center" wrapText="1"/>
    </xf>
    <xf numFmtId="166" fontId="7" fillId="0" borderId="27" xfId="0" applyNumberFormat="1" applyFont="1" applyBorder="1" applyAlignment="1">
      <alignment horizontal="center" vertical="center" wrapText="1"/>
    </xf>
    <xf numFmtId="166" fontId="7" fillId="0" borderId="28" xfId="0" applyNumberFormat="1" applyFont="1" applyBorder="1" applyAlignment="1">
      <alignment horizontal="center" vertical="center" wrapText="1"/>
    </xf>
    <xf numFmtId="166" fontId="13" fillId="0" borderId="31" xfId="0" applyNumberFormat="1" applyFont="1" applyBorder="1" applyAlignment="1">
      <alignment vertical="center"/>
    </xf>
    <xf numFmtId="166" fontId="19" fillId="9" borderId="27" xfId="0" applyNumberFormat="1" applyFont="1" applyFill="1" applyBorder="1" applyAlignment="1">
      <alignment horizontal="center" vertical="center" wrapText="1"/>
    </xf>
    <xf numFmtId="166" fontId="7" fillId="0" borderId="7" xfId="0" applyNumberFormat="1" applyFont="1" applyBorder="1" applyAlignment="1">
      <alignment horizontal="center" vertical="center" wrapText="1"/>
    </xf>
    <xf numFmtId="166" fontId="19" fillId="9" borderId="26" xfId="0" applyNumberFormat="1" applyFont="1" applyFill="1" applyBorder="1" applyAlignment="1">
      <alignment horizontal="center" vertical="center" wrapText="1"/>
    </xf>
    <xf numFmtId="44" fontId="7" fillId="2" borderId="0" xfId="0" applyNumberFormat="1" applyFont="1" applyFill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26" fillId="12" borderId="15" xfId="9" applyFont="1" applyFill="1" applyBorder="1" applyAlignment="1" applyProtection="1">
      <alignment horizontal="center" wrapText="1"/>
    </xf>
    <xf numFmtId="1" fontId="25" fillId="0" borderId="17" xfId="0" applyNumberFormat="1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" fontId="12" fillId="2" borderId="15" xfId="3" applyNumberFormat="1" applyFont="1" applyFill="1" applyBorder="1" applyAlignment="1">
      <alignment vertical="center" wrapText="1"/>
    </xf>
    <xf numFmtId="1" fontId="12" fillId="2" borderId="15" xfId="3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1" fontId="7" fillId="0" borderId="0" xfId="0" applyNumberFormat="1" applyFont="1" applyAlignment="1">
      <alignment horizontal="center" vertical="center" wrapText="1"/>
    </xf>
    <xf numFmtId="9" fontId="1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9" fillId="0" borderId="15" xfId="9" applyFont="1" applyBorder="1" applyAlignment="1" applyProtection="1">
      <alignment wrapText="1"/>
    </xf>
    <xf numFmtId="0" fontId="26" fillId="0" borderId="15" xfId="9" applyFont="1" applyBorder="1" applyAlignment="1" applyProtection="1">
      <alignment wrapText="1"/>
    </xf>
    <xf numFmtId="2" fontId="9" fillId="0" borderId="15" xfId="9" applyNumberFormat="1" applyFont="1" applyBorder="1" applyAlignment="1" applyProtection="1">
      <alignment horizontal="center" vertical="center" wrapText="1"/>
    </xf>
    <xf numFmtId="9" fontId="27" fillId="0" borderId="15" xfId="0" applyNumberFormat="1" applyFont="1" applyBorder="1" applyAlignment="1">
      <alignment horizontal="center" vertical="center" wrapText="1"/>
    </xf>
    <xf numFmtId="1" fontId="27" fillId="0" borderId="15" xfId="0" applyNumberFormat="1" applyFont="1" applyBorder="1" applyAlignment="1">
      <alignment horizontal="center" vertical="center" wrapText="1"/>
    </xf>
    <xf numFmtId="0" fontId="9" fillId="0" borderId="15" xfId="9" applyFont="1" applyBorder="1" applyAlignment="1" applyProtection="1">
      <alignment horizontal="center" vertical="center" wrapText="1"/>
    </xf>
    <xf numFmtId="0" fontId="26" fillId="0" borderId="15" xfId="0" applyFont="1" applyBorder="1" applyAlignment="1">
      <alignment wrapText="1"/>
    </xf>
    <xf numFmtId="1" fontId="26" fillId="0" borderId="15" xfId="0" applyNumberFormat="1" applyFont="1" applyBorder="1" applyAlignment="1">
      <alignment horizontal="center" vertical="center" wrapText="1"/>
    </xf>
    <xf numFmtId="9" fontId="28" fillId="0" borderId="15" xfId="0" applyNumberFormat="1" applyFont="1" applyBorder="1" applyAlignment="1">
      <alignment horizontal="center" vertical="center" wrapText="1"/>
    </xf>
    <xf numFmtId="1" fontId="28" fillId="0" borderId="15" xfId="0" applyNumberFormat="1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wrapText="1"/>
    </xf>
    <xf numFmtId="1" fontId="9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right" wrapText="1"/>
    </xf>
    <xf numFmtId="0" fontId="9" fillId="0" borderId="15" xfId="0" applyFont="1" applyBorder="1" applyAlignment="1">
      <alignment horizontal="center" vertical="center" wrapText="1"/>
    </xf>
    <xf numFmtId="169" fontId="7" fillId="0" borderId="15" xfId="0" applyNumberFormat="1" applyFont="1" applyBorder="1" applyAlignment="1">
      <alignment horizontal="center" vertical="center" wrapText="1"/>
    </xf>
    <xf numFmtId="44" fontId="7" fillId="0" borderId="15" xfId="1" applyFont="1" applyBorder="1" applyAlignment="1">
      <alignment horizontal="center" vertical="center" wrapText="1"/>
    </xf>
    <xf numFmtId="2" fontId="12" fillId="2" borderId="15" xfId="3" applyNumberFormat="1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vertical="center" wrapText="1"/>
    </xf>
    <xf numFmtId="166" fontId="22" fillId="0" borderId="22" xfId="0" applyNumberFormat="1" applyFont="1" applyBorder="1" applyAlignment="1">
      <alignment horizontal="center" vertical="center" wrapText="1"/>
    </xf>
    <xf numFmtId="171" fontId="22" fillId="0" borderId="22" xfId="0" applyNumberFormat="1" applyFont="1" applyBorder="1" applyAlignment="1">
      <alignment vertical="center" wrapText="1"/>
    </xf>
    <xf numFmtId="44" fontId="13" fillId="0" borderId="22" xfId="1" applyFont="1" applyFill="1" applyBorder="1" applyAlignment="1">
      <alignment horizontal="right" vertical="center" wrapText="1"/>
    </xf>
    <xf numFmtId="169" fontId="7" fillId="0" borderId="0" xfId="0" applyNumberFormat="1" applyFont="1" applyAlignment="1">
      <alignment horizontal="center" vertical="center" wrapText="1"/>
    </xf>
    <xf numFmtId="44" fontId="12" fillId="2" borderId="0" xfId="1" applyFont="1" applyFill="1" applyBorder="1" applyAlignment="1" applyProtection="1">
      <alignment horizontal="center" vertical="center" wrapText="1"/>
    </xf>
    <xf numFmtId="44" fontId="7" fillId="0" borderId="15" xfId="0" applyNumberFormat="1" applyFont="1" applyBorder="1" applyAlignment="1">
      <alignment horizontal="left" vertical="center" wrapText="1"/>
    </xf>
    <xf numFmtId="166" fontId="22" fillId="11" borderId="30" xfId="0" applyNumberFormat="1" applyFont="1" applyFill="1" applyBorder="1" applyAlignment="1">
      <alignment horizontal="center" vertical="center" wrapText="1"/>
    </xf>
    <xf numFmtId="44" fontId="7" fillId="0" borderId="0" xfId="0" applyNumberFormat="1" applyFont="1" applyAlignment="1">
      <alignment vertical="center" wrapText="1"/>
    </xf>
    <xf numFmtId="166" fontId="17" fillId="8" borderId="2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15" xfId="0" applyFont="1" applyBorder="1" applyAlignment="1">
      <alignment horizontal="left" vertical="center" wrapText="1"/>
    </xf>
    <xf numFmtId="1" fontId="8" fillId="0" borderId="15" xfId="0" applyNumberFormat="1" applyFont="1" applyBorder="1" applyAlignment="1">
      <alignment horizontal="center" vertical="center" wrapText="1"/>
    </xf>
    <xf numFmtId="168" fontId="7" fillId="0" borderId="15" xfId="0" applyNumberFormat="1" applyFont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left" vertical="center" wrapText="1"/>
    </xf>
    <xf numFmtId="0" fontId="9" fillId="0" borderId="13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1" fontId="9" fillId="0" borderId="18" xfId="0" applyNumberFormat="1" applyFont="1" applyBorder="1" applyAlignment="1">
      <alignment horizontal="center" vertical="center" wrapText="1"/>
    </xf>
    <xf numFmtId="9" fontId="27" fillId="0" borderId="18" xfId="0" applyNumberFormat="1" applyFont="1" applyBorder="1" applyAlignment="1">
      <alignment horizontal="center" vertical="center" wrapText="1"/>
    </xf>
    <xf numFmtId="1" fontId="27" fillId="0" borderId="18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1" fontId="27" fillId="0" borderId="2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20" fillId="9" borderId="13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22" fillId="12" borderId="15" xfId="0" applyFont="1" applyFill="1" applyBorder="1" applyAlignment="1">
      <alignment horizontal="center" wrapText="1"/>
    </xf>
    <xf numFmtId="0" fontId="14" fillId="0" borderId="15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left" wrapText="1"/>
    </xf>
    <xf numFmtId="0" fontId="8" fillId="0" borderId="13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wrapText="1"/>
    </xf>
    <xf numFmtId="0" fontId="7" fillId="0" borderId="18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1" fontId="8" fillId="0" borderId="22" xfId="0" applyNumberFormat="1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4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top" wrapText="1"/>
    </xf>
    <xf numFmtId="0" fontId="7" fillId="0" borderId="13" xfId="0" applyFont="1" applyBorder="1" applyAlignment="1">
      <alignment vertical="center" wrapText="1"/>
    </xf>
    <xf numFmtId="1" fontId="7" fillId="0" borderId="18" xfId="0" applyNumberFormat="1" applyFont="1" applyBorder="1" applyAlignment="1">
      <alignment horizontal="center" vertical="center" wrapText="1"/>
    </xf>
    <xf numFmtId="0" fontId="29" fillId="0" borderId="18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1" fontId="7" fillId="2" borderId="17" xfId="0" applyNumberFormat="1" applyFont="1" applyFill="1" applyBorder="1" applyAlignment="1">
      <alignment horizontal="center" vertical="center" wrapText="1"/>
    </xf>
    <xf numFmtId="169" fontId="9" fillId="0" borderId="18" xfId="0" applyNumberFormat="1" applyFont="1" applyBorder="1" applyAlignment="1">
      <alignment horizontal="center" vertical="center" wrapText="1"/>
    </xf>
    <xf numFmtId="171" fontId="7" fillId="0" borderId="18" xfId="0" applyNumberFormat="1" applyFont="1" applyBorder="1" applyAlignment="1">
      <alignment horizontal="left" vertical="center" wrapText="1"/>
    </xf>
    <xf numFmtId="166" fontId="28" fillId="0" borderId="22" xfId="0" applyNumberFormat="1" applyFont="1" applyBorder="1" applyAlignment="1">
      <alignment horizontal="center" vertical="center" wrapText="1"/>
    </xf>
    <xf numFmtId="171" fontId="27" fillId="0" borderId="22" xfId="0" applyNumberFormat="1" applyFont="1" applyBorder="1" applyAlignment="1">
      <alignment horizontal="center" vertical="center" wrapText="1"/>
    </xf>
    <xf numFmtId="169" fontId="8" fillId="0" borderId="15" xfId="0" applyNumberFormat="1" applyFont="1" applyBorder="1" applyAlignment="1">
      <alignment horizontal="center" vertical="center" wrapText="1"/>
    </xf>
    <xf numFmtId="170" fontId="8" fillId="0" borderId="15" xfId="0" applyNumberFormat="1" applyFont="1" applyBorder="1" applyAlignment="1">
      <alignment horizontal="center" vertical="center" wrapText="1"/>
    </xf>
    <xf numFmtId="44" fontId="8" fillId="0" borderId="15" xfId="0" applyNumberFormat="1" applyFont="1" applyBorder="1" applyAlignment="1">
      <alignment horizontal="center" vertical="center" wrapText="1"/>
    </xf>
    <xf numFmtId="44" fontId="7" fillId="0" borderId="35" xfId="1" applyFont="1" applyBorder="1" applyAlignment="1" applyProtection="1">
      <alignment horizontal="center" vertical="center" wrapText="1"/>
    </xf>
    <xf numFmtId="171" fontId="8" fillId="0" borderId="22" xfId="0" applyNumberFormat="1" applyFont="1" applyBorder="1" applyAlignment="1">
      <alignment horizontal="center" vertical="center" wrapText="1"/>
    </xf>
    <xf numFmtId="169" fontId="30" fillId="0" borderId="15" xfId="0" applyNumberFormat="1" applyFont="1" applyBorder="1" applyAlignment="1">
      <alignment horizontal="center" vertical="center"/>
    </xf>
    <xf numFmtId="171" fontId="14" fillId="0" borderId="15" xfId="0" applyNumberFormat="1" applyFont="1" applyBorder="1" applyAlignment="1">
      <alignment horizontal="left" vertical="center"/>
    </xf>
    <xf numFmtId="166" fontId="28" fillId="13" borderId="30" xfId="0" applyNumberFormat="1" applyFont="1" applyFill="1" applyBorder="1" applyAlignment="1">
      <alignment horizontal="center" vertical="center" wrapText="1"/>
    </xf>
    <xf numFmtId="166" fontId="12" fillId="0" borderId="7" xfId="0" applyNumberFormat="1" applyFont="1" applyBorder="1" applyAlignment="1">
      <alignment vertical="center" wrapText="1"/>
    </xf>
    <xf numFmtId="0" fontId="8" fillId="0" borderId="0" xfId="0" applyFont="1" applyAlignment="1">
      <alignment horizontal="left" wrapText="1"/>
    </xf>
    <xf numFmtId="166" fontId="12" fillId="0" borderId="31" xfId="0" applyNumberFormat="1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171" fontId="7" fillId="0" borderId="20" xfId="0" applyNumberFormat="1" applyFont="1" applyBorder="1" applyAlignment="1">
      <alignment horizontal="left" vertical="center" wrapText="1"/>
    </xf>
    <xf numFmtId="169" fontId="31" fillId="0" borderId="15" xfId="0" applyNumberFormat="1" applyFont="1" applyBorder="1" applyAlignment="1">
      <alignment horizontal="center" vertical="center"/>
    </xf>
    <xf numFmtId="0" fontId="12" fillId="0" borderId="36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26" fillId="13" borderId="14" xfId="0" applyFont="1" applyFill="1" applyBorder="1" applyAlignment="1">
      <alignment horizontal="left" vertical="center"/>
    </xf>
    <xf numFmtId="0" fontId="9" fillId="13" borderId="15" xfId="0" applyFont="1" applyFill="1" applyBorder="1" applyAlignment="1">
      <alignment horizontal="center" vertical="center"/>
    </xf>
    <xf numFmtId="0" fontId="26" fillId="13" borderId="15" xfId="0" applyFont="1" applyFill="1" applyBorder="1" applyAlignment="1">
      <alignment horizontal="center" vertical="center"/>
    </xf>
    <xf numFmtId="0" fontId="26" fillId="13" borderId="15" xfId="0" applyFont="1" applyFill="1" applyBorder="1" applyAlignment="1">
      <alignment horizontal="left" vertical="center" wrapText="1"/>
    </xf>
    <xf numFmtId="0" fontId="28" fillId="13" borderId="15" xfId="0" applyFont="1" applyFill="1" applyBorder="1" applyAlignment="1">
      <alignment horizontal="center" vertical="center"/>
    </xf>
    <xf numFmtId="1" fontId="28" fillId="13" borderId="15" xfId="0" applyNumberFormat="1" applyFont="1" applyFill="1" applyBorder="1" applyAlignment="1">
      <alignment horizontal="center" vertical="center"/>
    </xf>
    <xf numFmtId="0" fontId="26" fillId="13" borderId="15" xfId="0" applyFont="1" applyFill="1" applyBorder="1" applyAlignment="1">
      <alignment horizontal="center"/>
    </xf>
    <xf numFmtId="0" fontId="26" fillId="13" borderId="15" xfId="0" applyFont="1" applyFill="1" applyBorder="1" applyAlignment="1">
      <alignment horizontal="left"/>
    </xf>
    <xf numFmtId="1" fontId="26" fillId="13" borderId="15" xfId="0" applyNumberFormat="1" applyFont="1" applyFill="1" applyBorder="1" applyAlignment="1">
      <alignment horizontal="center" vertical="center"/>
    </xf>
    <xf numFmtId="0" fontId="26" fillId="15" borderId="14" xfId="0" applyFont="1" applyFill="1" applyBorder="1" applyAlignment="1">
      <alignment horizontal="left" vertical="center"/>
    </xf>
    <xf numFmtId="0" fontId="9" fillId="15" borderId="15" xfId="0" applyFont="1" applyFill="1" applyBorder="1" applyAlignment="1">
      <alignment horizontal="center" vertical="center"/>
    </xf>
    <xf numFmtId="0" fontId="26" fillId="15" borderId="15" xfId="0" applyFont="1" applyFill="1" applyBorder="1" applyAlignment="1">
      <alignment horizontal="center"/>
    </xf>
    <xf numFmtId="0" fontId="26" fillId="15" borderId="15" xfId="0" applyFont="1" applyFill="1" applyBorder="1" applyAlignment="1">
      <alignment horizontal="left"/>
    </xf>
    <xf numFmtId="1" fontId="26" fillId="15" borderId="15" xfId="0" applyNumberFormat="1" applyFont="1" applyFill="1" applyBorder="1" applyAlignment="1">
      <alignment horizontal="center" vertical="center"/>
    </xf>
    <xf numFmtId="0" fontId="26" fillId="15" borderId="15" xfId="0" applyFont="1" applyFill="1" applyBorder="1" applyAlignment="1">
      <alignment horizontal="center" vertical="center"/>
    </xf>
    <xf numFmtId="0" fontId="26" fillId="16" borderId="14" xfId="0" applyFont="1" applyFill="1" applyBorder="1" applyAlignment="1">
      <alignment horizontal="left" vertical="center"/>
    </xf>
    <xf numFmtId="0" fontId="9" fillId="16" borderId="15" xfId="0" applyFont="1" applyFill="1" applyBorder="1" applyAlignment="1">
      <alignment horizontal="center" vertical="center"/>
    </xf>
    <xf numFmtId="0" fontId="26" fillId="16" borderId="15" xfId="0" applyFont="1" applyFill="1" applyBorder="1" applyAlignment="1">
      <alignment horizontal="center"/>
    </xf>
    <xf numFmtId="0" fontId="26" fillId="16" borderId="15" xfId="0" applyFont="1" applyFill="1" applyBorder="1" applyAlignment="1">
      <alignment horizontal="left"/>
    </xf>
    <xf numFmtId="1" fontId="26" fillId="16" borderId="15" xfId="0" applyNumberFormat="1" applyFont="1" applyFill="1" applyBorder="1" applyAlignment="1">
      <alignment horizontal="center" vertical="center"/>
    </xf>
    <xf numFmtId="0" fontId="26" fillId="16" borderId="15" xfId="0" applyFont="1" applyFill="1" applyBorder="1" applyAlignment="1">
      <alignment horizontal="center" vertical="center"/>
    </xf>
    <xf numFmtId="0" fontId="26" fillId="16" borderId="37" xfId="0" applyFont="1" applyFill="1" applyBorder="1" applyAlignment="1">
      <alignment horizontal="left" vertical="center"/>
    </xf>
    <xf numFmtId="0" fontId="9" fillId="16" borderId="38" xfId="0" applyFont="1" applyFill="1" applyBorder="1" applyAlignment="1">
      <alignment horizontal="center" vertical="center"/>
    </xf>
    <xf numFmtId="167" fontId="26" fillId="16" borderId="38" xfId="0" applyNumberFormat="1" applyFont="1" applyFill="1" applyBorder="1" applyAlignment="1">
      <alignment horizontal="center" vertical="center"/>
    </xf>
    <xf numFmtId="0" fontId="26" fillId="16" borderId="38" xfId="0" applyFont="1" applyFill="1" applyBorder="1" applyAlignment="1">
      <alignment horizontal="left" vertical="center" wrapText="1"/>
    </xf>
    <xf numFmtId="0" fontId="28" fillId="16" borderId="38" xfId="0" applyFont="1" applyFill="1" applyBorder="1" applyAlignment="1">
      <alignment horizontal="center" vertical="center"/>
    </xf>
    <xf numFmtId="1" fontId="28" fillId="16" borderId="38" xfId="0" applyNumberFormat="1" applyFont="1" applyFill="1" applyBorder="1" applyAlignment="1">
      <alignment horizontal="center" vertical="center"/>
    </xf>
    <xf numFmtId="1" fontId="23" fillId="14" borderId="15" xfId="0" applyNumberFormat="1" applyFont="1" applyFill="1" applyBorder="1" applyAlignment="1">
      <alignment horizontal="center" vertical="center" wrapText="1"/>
    </xf>
    <xf numFmtId="166" fontId="23" fillId="4" borderId="15" xfId="0" applyNumberFormat="1" applyFont="1" applyFill="1" applyBorder="1" applyAlignment="1">
      <alignment horizontal="center" vertical="center" wrapText="1"/>
    </xf>
    <xf numFmtId="0" fontId="23" fillId="5" borderId="15" xfId="0" applyFont="1" applyFill="1" applyBorder="1" applyAlignment="1">
      <alignment horizontal="center" vertical="center" wrapText="1"/>
    </xf>
    <xf numFmtId="166" fontId="23" fillId="5" borderId="15" xfId="0" applyNumberFormat="1" applyFont="1" applyFill="1" applyBorder="1" applyAlignment="1">
      <alignment horizontal="center" vertical="center" wrapText="1"/>
    </xf>
    <xf numFmtId="44" fontId="28" fillId="13" borderId="15" xfId="0" applyNumberFormat="1" applyFont="1" applyFill="1" applyBorder="1" applyAlignment="1">
      <alignment horizontal="left" vertical="center"/>
    </xf>
    <xf numFmtId="9" fontId="26" fillId="13" borderId="15" xfId="0" applyNumberFormat="1" applyFont="1" applyFill="1" applyBorder="1" applyAlignment="1">
      <alignment horizontal="left" vertical="center"/>
    </xf>
    <xf numFmtId="9" fontId="26" fillId="15" borderId="15" xfId="0" applyNumberFormat="1" applyFont="1" applyFill="1" applyBorder="1" applyAlignment="1">
      <alignment horizontal="left" vertical="center"/>
    </xf>
    <xf numFmtId="10" fontId="26" fillId="16" borderId="15" xfId="0" applyNumberFormat="1" applyFont="1" applyFill="1" applyBorder="1" applyAlignment="1">
      <alignment horizontal="left" vertical="center"/>
    </xf>
    <xf numFmtId="173" fontId="26" fillId="16" borderId="15" xfId="0" applyNumberFormat="1" applyFont="1" applyFill="1" applyBorder="1" applyAlignment="1">
      <alignment horizontal="left" vertical="center"/>
    </xf>
    <xf numFmtId="44" fontId="28" fillId="16" borderId="38" xfId="0" applyNumberFormat="1" applyFont="1" applyFill="1" applyBorder="1" applyAlignment="1">
      <alignment horizontal="left" vertical="center"/>
    </xf>
    <xf numFmtId="166" fontId="8" fillId="0" borderId="0" xfId="0" applyNumberFormat="1" applyFont="1" applyAlignment="1">
      <alignment wrapText="1"/>
    </xf>
    <xf numFmtId="171" fontId="7" fillId="0" borderId="27" xfId="0" applyNumberFormat="1" applyFont="1" applyBorder="1" applyAlignment="1">
      <alignment horizontal="center" vertical="center" wrapText="1"/>
    </xf>
    <xf numFmtId="166" fontId="32" fillId="13" borderId="27" xfId="0" applyNumberFormat="1" applyFont="1" applyFill="1" applyBorder="1" applyAlignment="1">
      <alignment horizontal="left" vertical="center"/>
    </xf>
    <xf numFmtId="166" fontId="9" fillId="0" borderId="0" xfId="0" applyNumberFormat="1" applyFont="1"/>
    <xf numFmtId="0" fontId="26" fillId="0" borderId="0" xfId="0" applyFont="1"/>
    <xf numFmtId="166" fontId="32" fillId="15" borderId="27" xfId="0" applyNumberFormat="1" applyFont="1" applyFill="1" applyBorder="1" applyAlignment="1">
      <alignment horizontal="left" vertical="center"/>
    </xf>
    <xf numFmtId="166" fontId="32" fillId="16" borderId="27" xfId="0" applyNumberFormat="1" applyFont="1" applyFill="1" applyBorder="1" applyAlignment="1">
      <alignment horizontal="left" vertical="center"/>
    </xf>
    <xf numFmtId="166" fontId="32" fillId="16" borderId="39" xfId="0" applyNumberFormat="1" applyFont="1" applyFill="1" applyBorder="1" applyAlignment="1">
      <alignment horizontal="left" vertical="center"/>
    </xf>
    <xf numFmtId="0" fontId="0" fillId="2" borderId="0" xfId="0" applyFill="1"/>
    <xf numFmtId="166" fontId="0" fillId="2" borderId="0" xfId="0" applyNumberFormat="1" applyFill="1"/>
    <xf numFmtId="167" fontId="34" fillId="8" borderId="15" xfId="0" applyNumberFormat="1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12" fillId="0" borderId="33" xfId="0" applyFont="1" applyBorder="1" applyAlignment="1">
      <alignment vertical="center"/>
    </xf>
    <xf numFmtId="166" fontId="7" fillId="0" borderId="26" xfId="0" applyNumberFormat="1" applyFont="1" applyBorder="1"/>
    <xf numFmtId="0" fontId="23" fillId="0" borderId="14" xfId="0" applyFont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166" fontId="7" fillId="0" borderId="27" xfId="0" applyNumberFormat="1" applyFont="1" applyBorder="1"/>
    <xf numFmtId="166" fontId="35" fillId="0" borderId="42" xfId="4" applyNumberFormat="1" applyFont="1" applyFill="1" applyBorder="1" applyAlignment="1">
      <alignment vertical="center"/>
    </xf>
    <xf numFmtId="44" fontId="0" fillId="2" borderId="0" xfId="0" applyNumberFormat="1" applyFill="1"/>
    <xf numFmtId="9" fontId="26" fillId="13" borderId="14" xfId="2" applyFont="1" applyFill="1" applyBorder="1" applyAlignment="1">
      <alignment horizontal="center" vertical="center"/>
    </xf>
    <xf numFmtId="174" fontId="26" fillId="13" borderId="14" xfId="0" applyNumberFormat="1" applyFont="1" applyFill="1" applyBorder="1" applyAlignment="1">
      <alignment horizontal="left" vertical="center"/>
    </xf>
    <xf numFmtId="173" fontId="26" fillId="15" borderId="14" xfId="2" applyNumberFormat="1" applyFont="1" applyFill="1" applyBorder="1" applyAlignment="1">
      <alignment horizontal="center" vertical="center"/>
    </xf>
    <xf numFmtId="174" fontId="26" fillId="15" borderId="14" xfId="0" applyNumberFormat="1" applyFont="1" applyFill="1" applyBorder="1" applyAlignment="1">
      <alignment horizontal="left" vertical="center"/>
    </xf>
    <xf numFmtId="173" fontId="26" fillId="16" borderId="14" xfId="2" applyNumberFormat="1" applyFont="1" applyFill="1" applyBorder="1" applyAlignment="1">
      <alignment horizontal="center" vertical="center"/>
    </xf>
    <xf numFmtId="174" fontId="26" fillId="16" borderId="14" xfId="0" applyNumberFormat="1" applyFont="1" applyFill="1" applyBorder="1" applyAlignment="1">
      <alignment horizontal="left" vertical="center"/>
    </xf>
    <xf numFmtId="175" fontId="0" fillId="2" borderId="9" xfId="0" applyNumberFormat="1" applyFill="1" applyBorder="1"/>
    <xf numFmtId="0" fontId="0" fillId="2" borderId="9" xfId="0" applyFill="1" applyBorder="1"/>
    <xf numFmtId="0" fontId="0" fillId="2" borderId="7" xfId="0" applyFill="1" applyBorder="1"/>
    <xf numFmtId="0" fontId="0" fillId="2" borderId="10" xfId="0" applyFill="1" applyBorder="1"/>
    <xf numFmtId="167" fontId="33" fillId="8" borderId="36" xfId="0" applyNumberFormat="1" applyFont="1" applyFill="1" applyBorder="1" applyAlignment="1">
      <alignment horizontal="center" vertical="center" wrapText="1"/>
    </xf>
    <xf numFmtId="167" fontId="33" fillId="8" borderId="23" xfId="0" applyNumberFormat="1" applyFont="1" applyFill="1" applyBorder="1" applyAlignment="1">
      <alignment horizontal="center" vertical="center" wrapText="1"/>
    </xf>
    <xf numFmtId="167" fontId="33" fillId="8" borderId="16" xfId="0" applyNumberFormat="1" applyFont="1" applyFill="1" applyBorder="1" applyAlignment="1">
      <alignment horizontal="center" vertical="center" wrapText="1"/>
    </xf>
    <xf numFmtId="0" fontId="26" fillId="13" borderId="40" xfId="0" applyFont="1" applyFill="1" applyBorder="1" applyAlignment="1">
      <alignment horizontal="center" vertical="center"/>
    </xf>
    <xf numFmtId="0" fontId="26" fillId="13" borderId="41" xfId="0" applyFont="1" applyFill="1" applyBorder="1" applyAlignment="1">
      <alignment horizontal="center" vertical="center"/>
    </xf>
    <xf numFmtId="0" fontId="26" fillId="13" borderId="35" xfId="0" applyFont="1" applyFill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49" fontId="36" fillId="0" borderId="42" xfId="0" applyNumberFormat="1" applyFont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wrapText="1"/>
    </xf>
    <xf numFmtId="3" fontId="11" fillId="2" borderId="0" xfId="0" applyNumberFormat="1" applyFont="1" applyFill="1" applyAlignment="1">
      <alignment horizontal="left"/>
    </xf>
    <xf numFmtId="0" fontId="15" fillId="2" borderId="0" xfId="0" applyFont="1" applyFill="1" applyAlignment="1">
      <alignment horizontal="left" vertical="center"/>
    </xf>
    <xf numFmtId="0" fontId="23" fillId="14" borderId="15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1" fontId="23" fillId="0" borderId="24" xfId="3" applyNumberFormat="1" applyFont="1" applyFill="1" applyBorder="1" applyAlignment="1">
      <alignment horizontal="center" vertical="center" wrapText="1"/>
    </xf>
    <xf numFmtId="1" fontId="23" fillId="0" borderId="25" xfId="3" applyNumberFormat="1" applyFont="1" applyFill="1" applyBorder="1" applyAlignment="1">
      <alignment horizontal="center" vertical="center" wrapText="1"/>
    </xf>
    <xf numFmtId="1" fontId="23" fillId="0" borderId="32" xfId="3" applyNumberFormat="1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1" fontId="23" fillId="2" borderId="24" xfId="3" applyNumberFormat="1" applyFont="1" applyFill="1" applyBorder="1" applyAlignment="1">
      <alignment horizontal="center" vertical="center"/>
    </xf>
    <xf numFmtId="1" fontId="23" fillId="2" borderId="25" xfId="3" applyNumberFormat="1" applyFont="1" applyFill="1" applyBorder="1" applyAlignment="1">
      <alignment horizontal="center" vertical="center"/>
    </xf>
    <xf numFmtId="1" fontId="23" fillId="2" borderId="32" xfId="3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44" fontId="7" fillId="0" borderId="28" xfId="0" applyNumberFormat="1" applyFont="1" applyBorder="1" applyAlignment="1">
      <alignment horizontal="center" vertical="center" wrapText="1"/>
    </xf>
    <xf numFmtId="44" fontId="7" fillId="0" borderId="29" xfId="0" applyNumberFormat="1" applyFont="1" applyBorder="1" applyAlignment="1">
      <alignment horizontal="center" vertical="center" wrapText="1"/>
    </xf>
    <xf numFmtId="44" fontId="7" fillId="0" borderId="26" xfId="0" applyNumberFormat="1" applyFont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/>
    </xf>
    <xf numFmtId="0" fontId="4" fillId="3" borderId="5" xfId="7" applyFont="1" applyFill="1" applyBorder="1" applyAlignment="1">
      <alignment horizontal="center"/>
    </xf>
  </cellXfs>
  <cellStyles count="13">
    <cellStyle name="Currency" xfId="1" builtinId="4"/>
    <cellStyle name="Currency 2" xfId="4" xr:uid="{00000000-0005-0000-0000-000031000000}"/>
    <cellStyle name="Currency 3" xfId="5" xr:uid="{00000000-0005-0000-0000-000032000000}"/>
    <cellStyle name="Currency 4" xfId="6" xr:uid="{00000000-0005-0000-0000-000033000000}"/>
    <cellStyle name="Normal" xfId="0" builtinId="0"/>
    <cellStyle name="Normal 2" xfId="7" xr:uid="{00000000-0005-0000-0000-000034000000}"/>
    <cellStyle name="Normal 2 3" xfId="8" xr:uid="{00000000-0005-0000-0000-000035000000}"/>
    <cellStyle name="Normal 4" xfId="9" xr:uid="{00000000-0005-0000-0000-000036000000}"/>
    <cellStyle name="Note" xfId="3" builtinId="10"/>
    <cellStyle name="Percent" xfId="2" builtinId="5"/>
    <cellStyle name="Percent 2" xfId="10" xr:uid="{00000000-0005-0000-0000-000037000000}"/>
    <cellStyle name="Percent 3" xfId="11" xr:uid="{00000000-0005-0000-0000-000038000000}"/>
    <cellStyle name="Style 1" xfId="12" xr:uid="{00000000-0005-0000-0000-000039000000}"/>
  </cellStyles>
  <dxfs count="0"/>
  <tableStyles count="0" defaultTableStyle="TableStyleMedium9" defaultPivotStyle="PivotStyleLight16"/>
  <colors>
    <mruColors>
      <color rgb="FF00496A"/>
      <color rgb="FF4A4C4C"/>
      <color rgb="FF013554"/>
      <color rgb="FF001521"/>
      <color rgb="FF00A6A5"/>
      <color rgb="FF00C8C3"/>
      <color rgb="FF00A8A4"/>
      <color rgb="FF00DED9"/>
      <color rgb="FF00BCB8"/>
      <color rgb="FF00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DIVISION COST COMPARISON</c:v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'General Summary'!$B$4:$B$15</c:f>
              <c:strCache>
                <c:ptCount val="12"/>
                <c:pt idx="0">
                  <c:v>General Requirments</c:v>
                </c:pt>
                <c:pt idx="1">
                  <c:v>Extisting Condition</c:v>
                </c:pt>
                <c:pt idx="2">
                  <c:v>Concrete</c:v>
                </c:pt>
                <c:pt idx="3">
                  <c:v>Wood &amp; Plastics</c:v>
                </c:pt>
                <c:pt idx="4">
                  <c:v>Thermal &amp; Moisture Protection</c:v>
                </c:pt>
                <c:pt idx="5">
                  <c:v>Opening</c:v>
                </c:pt>
                <c:pt idx="6">
                  <c:v>Finishes</c:v>
                </c:pt>
                <c:pt idx="7">
                  <c:v>Specialties</c:v>
                </c:pt>
                <c:pt idx="8">
                  <c:v>Furnishing</c:v>
                </c:pt>
                <c:pt idx="9">
                  <c:v>Plumbing</c:v>
                </c:pt>
                <c:pt idx="10">
                  <c:v>HVAC</c:v>
                </c:pt>
                <c:pt idx="11">
                  <c:v>Electrical</c:v>
                </c:pt>
              </c:strCache>
            </c:strRef>
          </c:cat>
          <c:val>
            <c:numRef>
              <c:f>'General Summary'!$C$4:$C$15</c:f>
              <c:numCache>
                <c:formatCode>_("$"* #,##0_);_("$"* \(#,##0\);_("$"* "-"??_);_(@_)</c:formatCode>
                <c:ptCount val="12"/>
                <c:pt idx="0">
                  <c:v>88000</c:v>
                </c:pt>
                <c:pt idx="1">
                  <c:v>109016.13465370001</c:v>
                </c:pt>
                <c:pt idx="2">
                  <c:v>5528.1021481481503</c:v>
                </c:pt>
                <c:pt idx="3">
                  <c:v>24459.320407200001</c:v>
                </c:pt>
                <c:pt idx="4">
                  <c:v>97327.291899999997</c:v>
                </c:pt>
                <c:pt idx="5">
                  <c:v>122539.14543999999</c:v>
                </c:pt>
                <c:pt idx="6">
                  <c:v>249600.964793486</c:v>
                </c:pt>
                <c:pt idx="7">
                  <c:v>15229.141</c:v>
                </c:pt>
                <c:pt idx="8">
                  <c:v>39056.704075000001</c:v>
                </c:pt>
                <c:pt idx="9">
                  <c:v>86779.111885499995</c:v>
                </c:pt>
                <c:pt idx="10">
                  <c:v>190540.48680635</c:v>
                </c:pt>
                <c:pt idx="11">
                  <c:v>150767.06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FB-4A82-AAD0-E53111924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525215184"/>
        <c:axId val="525188976"/>
      </c:barChart>
      <c:catAx>
        <c:axId val="5252151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188976"/>
        <c:crosses val="autoZero"/>
        <c:auto val="1"/>
        <c:lblAlgn val="ctr"/>
        <c:lblOffset val="100"/>
        <c:noMultiLvlLbl val="0"/>
      </c:catAx>
      <c:valAx>
        <c:axId val="5251889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21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ecb594af-0e31-408f-9841-f6998af29eb4}"/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1543</xdr:colOff>
      <xdr:row>2</xdr:row>
      <xdr:rowOff>10886</xdr:rowOff>
    </xdr:from>
    <xdr:to>
      <xdr:col>14</xdr:col>
      <xdr:colOff>2969</xdr:colOff>
      <xdr:row>21</xdr:row>
      <xdr:rowOff>196496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1</xdr:row>
      <xdr:rowOff>0</xdr:rowOff>
    </xdr:from>
    <xdr:ext cx="184731" cy="29504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00275" y="207645"/>
          <a:ext cx="184150" cy="294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9504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743075" y="207645"/>
          <a:ext cx="184150" cy="294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Integra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gral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tile tx="0" ty="0" sx="40000" sy="4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N32"/>
  <sheetViews>
    <sheetView view="pageBreakPreview" zoomScaleNormal="100" workbookViewId="0">
      <selection sqref="A1:N1"/>
    </sheetView>
  </sheetViews>
  <sheetFormatPr defaultColWidth="9" defaultRowHeight="13.8"/>
  <cols>
    <col min="1" max="1" width="38.5" style="306" customWidth="1"/>
    <col min="2" max="2" width="63.09765625" style="306" customWidth="1"/>
    <col min="3" max="3" width="17.5" style="307" customWidth="1"/>
    <col min="4" max="16384" width="9" style="306"/>
  </cols>
  <sheetData>
    <row r="1" spans="1:14" ht="21">
      <c r="A1" s="327" t="s">
        <v>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9"/>
    </row>
    <row r="2" spans="1:14" ht="21" customHeight="1">
      <c r="A2" s="330"/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2"/>
    </row>
    <row r="3" spans="1:14" ht="18">
      <c r="A3" s="308" t="s">
        <v>1</v>
      </c>
      <c r="B3" s="308" t="s">
        <v>2</v>
      </c>
      <c r="C3" s="308" t="s">
        <v>3</v>
      </c>
      <c r="N3" s="325"/>
    </row>
    <row r="4" spans="1:14" ht="15.6">
      <c r="A4" s="309">
        <v>1000</v>
      </c>
      <c r="B4" s="310" t="s">
        <v>4</v>
      </c>
      <c r="C4" s="311">
        <f>'Takeoff Breakdown'!Q16</f>
        <v>88000</v>
      </c>
      <c r="N4" s="325"/>
    </row>
    <row r="5" spans="1:14" ht="15.6">
      <c r="A5" s="312">
        <v>2000</v>
      </c>
      <c r="B5" s="313" t="s">
        <v>5</v>
      </c>
      <c r="C5" s="314">
        <f>'Takeoff Breakdown'!Q82</f>
        <v>109016.13465370001</v>
      </c>
      <c r="N5" s="325"/>
    </row>
    <row r="6" spans="1:14" ht="15.6">
      <c r="A6" s="312">
        <v>3000</v>
      </c>
      <c r="B6" s="313" t="s">
        <v>6</v>
      </c>
      <c r="C6" s="314">
        <f>'Takeoff Breakdown'!Q97</f>
        <v>5528.1021481481503</v>
      </c>
      <c r="N6" s="325"/>
    </row>
    <row r="7" spans="1:14" ht="15.6">
      <c r="A7" s="312">
        <v>6000</v>
      </c>
      <c r="B7" s="313" t="s">
        <v>7</v>
      </c>
      <c r="C7" s="314">
        <f>'Takeoff Breakdown'!Q106</f>
        <v>24459.320407200001</v>
      </c>
      <c r="N7" s="325"/>
    </row>
    <row r="8" spans="1:14" ht="15.6">
      <c r="A8" s="312">
        <v>7000</v>
      </c>
      <c r="B8" s="313" t="s">
        <v>8</v>
      </c>
      <c r="C8" s="314">
        <f>'Takeoff Breakdown'!Q118</f>
        <v>97327.291899999997</v>
      </c>
      <c r="N8" s="325"/>
    </row>
    <row r="9" spans="1:14" ht="15.6">
      <c r="A9" s="312">
        <v>8000</v>
      </c>
      <c r="B9" s="313" t="s">
        <v>9</v>
      </c>
      <c r="C9" s="314">
        <f>'Takeoff Breakdown'!Q139</f>
        <v>122539.14543999999</v>
      </c>
      <c r="N9" s="325"/>
    </row>
    <row r="10" spans="1:14" ht="15.6">
      <c r="A10" s="312">
        <v>9000</v>
      </c>
      <c r="B10" s="313" t="s">
        <v>10</v>
      </c>
      <c r="C10" s="314">
        <f>'Takeoff Breakdown'!Q266</f>
        <v>249600.964793486</v>
      </c>
      <c r="N10" s="325"/>
    </row>
    <row r="11" spans="1:14" ht="15.6">
      <c r="A11" s="312">
        <v>10000</v>
      </c>
      <c r="B11" s="313" t="s">
        <v>11</v>
      </c>
      <c r="C11" s="314">
        <f>'Takeoff Breakdown'!Q283</f>
        <v>15229.141</v>
      </c>
      <c r="N11" s="325"/>
    </row>
    <row r="12" spans="1:14" ht="15.6">
      <c r="A12" s="312">
        <v>12000</v>
      </c>
      <c r="B12" s="313" t="s">
        <v>12</v>
      </c>
      <c r="C12" s="314">
        <f>'Takeoff Breakdown'!Q297</f>
        <v>39056.704075000001</v>
      </c>
      <c r="N12" s="325"/>
    </row>
    <row r="13" spans="1:14" ht="15.6">
      <c r="A13" s="312">
        <v>22000</v>
      </c>
      <c r="B13" s="313" t="s">
        <v>13</v>
      </c>
      <c r="C13" s="314">
        <f>'Takeoff Breakdown'!Q333</f>
        <v>86779.111885499995</v>
      </c>
      <c r="N13" s="325"/>
    </row>
    <row r="14" spans="1:14" ht="15.6">
      <c r="A14" s="312">
        <v>23000</v>
      </c>
      <c r="B14" s="313" t="s">
        <v>14</v>
      </c>
      <c r="C14" s="314">
        <f>'Takeoff Breakdown'!Q448</f>
        <v>190540.48680635</v>
      </c>
      <c r="N14" s="325"/>
    </row>
    <row r="15" spans="1:14" ht="15.6">
      <c r="A15" s="312">
        <v>26000</v>
      </c>
      <c r="B15" s="313" t="s">
        <v>15</v>
      </c>
      <c r="C15" s="314">
        <f>'Takeoff Breakdown'!Q526</f>
        <v>150767.06</v>
      </c>
      <c r="N15" s="325"/>
    </row>
    <row r="16" spans="1:14" ht="15.6">
      <c r="A16" s="333" t="s">
        <v>16</v>
      </c>
      <c r="B16" s="333"/>
      <c r="C16" s="315">
        <f>SUM(C4:C15)</f>
        <v>1178843.4631093801</v>
      </c>
      <c r="E16" s="316"/>
      <c r="N16" s="325"/>
    </row>
    <row r="17" spans="1:14" ht="15.6">
      <c r="A17" s="334"/>
      <c r="B17" s="334"/>
      <c r="C17" s="334"/>
      <c r="N17" s="325"/>
    </row>
    <row r="18" spans="1:14" ht="15.6">
      <c r="A18" s="261" t="s">
        <v>17</v>
      </c>
      <c r="B18" s="317">
        <v>0.05</v>
      </c>
      <c r="C18" s="318">
        <f>C16*B18</f>
        <v>58942.173155469201</v>
      </c>
      <c r="D18" s="316"/>
      <c r="E18" s="316"/>
      <c r="N18" s="325"/>
    </row>
    <row r="19" spans="1:14" ht="15.6">
      <c r="A19" s="261" t="s">
        <v>18</v>
      </c>
      <c r="B19" s="317">
        <v>0.1</v>
      </c>
      <c r="C19" s="318">
        <f>C16*B19</f>
        <v>117884.346310938</v>
      </c>
      <c r="N19" s="325"/>
    </row>
    <row r="20" spans="1:14" ht="15.6">
      <c r="A20" s="270" t="s">
        <v>19</v>
      </c>
      <c r="B20" s="319">
        <v>7.2499999999999995E-2</v>
      </c>
      <c r="C20" s="320">
        <f>'Takeoff Breakdown'!O528*B20</f>
        <v>35919.728868815298</v>
      </c>
      <c r="N20" s="325"/>
    </row>
    <row r="21" spans="1:14" ht="15.6">
      <c r="A21" s="276" t="s">
        <v>20</v>
      </c>
      <c r="B21" s="321">
        <v>1.4999999999999999E-2</v>
      </c>
      <c r="C21" s="322">
        <f>C16*B21</f>
        <v>17682.651946640799</v>
      </c>
      <c r="N21" s="325"/>
    </row>
    <row r="22" spans="1:14" ht="15.6">
      <c r="A22" s="276" t="s">
        <v>21</v>
      </c>
      <c r="B22" s="321"/>
      <c r="C22" s="322">
        <f>SUM(C16,C18:C21)</f>
        <v>1409272.3633912499</v>
      </c>
      <c r="D22" s="323"/>
      <c r="E22" s="324"/>
      <c r="F22" s="324"/>
      <c r="G22" s="324"/>
      <c r="H22" s="324"/>
      <c r="I22" s="324"/>
      <c r="J22" s="324"/>
      <c r="K22" s="324"/>
      <c r="L22" s="324"/>
      <c r="M22" s="324"/>
      <c r="N22" s="326"/>
    </row>
    <row r="32" spans="1:14">
      <c r="C32" s="306"/>
    </row>
  </sheetData>
  <mergeCells count="4">
    <mergeCell ref="A1:N1"/>
    <mergeCell ref="A2:N2"/>
    <mergeCell ref="A16:B16"/>
    <mergeCell ref="A17:C17"/>
  </mergeCells>
  <pageMargins left="0.7" right="0.7" top="0.75" bottom="0.75" header="0.3" footer="0.3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AJ534"/>
  <sheetViews>
    <sheetView showGridLines="0" tabSelected="1" topLeftCell="A2" zoomScale="70" zoomScaleNormal="70" zoomScaleSheetLayoutView="85" workbookViewId="0">
      <pane ySplit="5" topLeftCell="A7" activePane="bottomLeft" state="frozen"/>
      <selection pane="bottomLeft" activeCell="D4" sqref="D4"/>
    </sheetView>
  </sheetViews>
  <sheetFormatPr defaultColWidth="9" defaultRowHeight="15.6"/>
  <cols>
    <col min="1" max="1" width="4.09765625" style="34" customWidth="1"/>
    <col min="2" max="2" width="9.19921875" style="34" customWidth="1"/>
    <col min="3" max="3" width="9.5" style="34" customWidth="1"/>
    <col min="4" max="4" width="73.69921875" style="34" customWidth="1"/>
    <col min="5" max="6" width="11.5" style="35" customWidth="1"/>
    <col min="7" max="7" width="14" style="35" customWidth="1"/>
    <col min="8" max="8" width="10.5" style="34" customWidth="1"/>
    <col min="9" max="10" width="14" style="35" customWidth="1"/>
    <col min="11" max="12" width="12.5" style="34" customWidth="1"/>
    <col min="13" max="13" width="14.5" style="34" customWidth="1"/>
    <col min="14" max="14" width="19.09765625" style="34" customWidth="1"/>
    <col min="15" max="15" width="14.59765625" style="34" customWidth="1"/>
    <col min="16" max="16" width="12.5" style="34" customWidth="1"/>
    <col min="17" max="17" width="15.19921875" style="29" customWidth="1"/>
    <col min="18" max="18" width="12" style="34" customWidth="1"/>
    <col min="19" max="16384" width="9" style="34"/>
  </cols>
  <sheetData>
    <row r="1" spans="1:18" s="26" customFormat="1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8" ht="18">
      <c r="A2" s="335" t="s">
        <v>22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7"/>
    </row>
    <row r="3" spans="1:18" ht="18">
      <c r="A3" s="38"/>
      <c r="B3" s="338" t="s">
        <v>23</v>
      </c>
      <c r="C3" s="338"/>
      <c r="D3" s="34" t="s">
        <v>520</v>
      </c>
      <c r="E3" s="39"/>
      <c r="F3" s="39"/>
      <c r="G3" s="40"/>
      <c r="H3" s="40"/>
      <c r="I3" s="40"/>
      <c r="J3" s="40"/>
      <c r="K3" s="40"/>
      <c r="L3" s="40"/>
      <c r="M3" s="40"/>
      <c r="N3" s="40"/>
      <c r="O3" s="79"/>
      <c r="P3" s="80"/>
      <c r="Q3" s="94"/>
    </row>
    <row r="4" spans="1:18" ht="18">
      <c r="A4" s="38"/>
      <c r="B4" s="339" t="s">
        <v>24</v>
      </c>
      <c r="C4" s="339"/>
      <c r="D4" s="34" t="s">
        <v>521</v>
      </c>
      <c r="E4" s="41"/>
      <c r="F4" s="41"/>
      <c r="G4" s="41"/>
      <c r="H4" s="42"/>
      <c r="I4" s="41"/>
      <c r="J4" s="41"/>
      <c r="K4" s="40"/>
      <c r="L4" s="40"/>
      <c r="M4" s="40"/>
      <c r="N4" s="40"/>
      <c r="O4" s="79"/>
      <c r="P4" s="80"/>
      <c r="Q4" s="94"/>
    </row>
    <row r="5" spans="1:18" ht="18">
      <c r="A5" s="38"/>
      <c r="B5" s="340" t="s">
        <v>25</v>
      </c>
      <c r="C5" s="340"/>
      <c r="D5" s="34" t="s">
        <v>26</v>
      </c>
      <c r="E5" s="43"/>
      <c r="F5" s="41"/>
      <c r="G5" s="41"/>
      <c r="H5" s="43"/>
      <c r="I5" s="41"/>
      <c r="J5" s="41"/>
      <c r="K5" s="81"/>
      <c r="L5" s="81"/>
      <c r="M5" s="81"/>
      <c r="N5" s="81"/>
      <c r="O5" s="82"/>
      <c r="P5" s="83"/>
      <c r="Q5" s="94"/>
    </row>
    <row r="6" spans="1:18" s="26" customFormat="1" ht="46.8">
      <c r="A6" s="44" t="s">
        <v>27</v>
      </c>
      <c r="B6" s="45" t="s">
        <v>28</v>
      </c>
      <c r="C6" s="45" t="s">
        <v>29</v>
      </c>
      <c r="D6" s="46" t="s">
        <v>2</v>
      </c>
      <c r="E6" s="45" t="s">
        <v>30</v>
      </c>
      <c r="F6" s="45" t="s">
        <v>31</v>
      </c>
      <c r="G6" s="45" t="s">
        <v>32</v>
      </c>
      <c r="H6" s="45" t="s">
        <v>33</v>
      </c>
      <c r="I6" s="45" t="s">
        <v>34</v>
      </c>
      <c r="J6" s="45" t="s">
        <v>35</v>
      </c>
      <c r="K6" s="45" t="s">
        <v>36</v>
      </c>
      <c r="L6" s="45" t="s">
        <v>37</v>
      </c>
      <c r="M6" s="45" t="s">
        <v>38</v>
      </c>
      <c r="N6" s="45" t="s">
        <v>39</v>
      </c>
      <c r="O6" s="45" t="s">
        <v>40</v>
      </c>
      <c r="P6" s="45" t="s">
        <v>41</v>
      </c>
      <c r="Q6" s="95" t="s">
        <v>42</v>
      </c>
    </row>
    <row r="7" spans="1:18" s="27" customFormat="1">
      <c r="A7" s="47"/>
      <c r="B7" s="48"/>
      <c r="C7" s="49">
        <v>1</v>
      </c>
      <c r="D7" s="50" t="s">
        <v>43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96"/>
    </row>
    <row r="8" spans="1:18">
      <c r="A8" s="51">
        <f>IF(F8&lt;&gt;"",1+MAX($A$2:A7),"")</f>
        <v>1</v>
      </c>
      <c r="B8" s="52"/>
      <c r="C8" s="52"/>
      <c r="D8" s="53" t="s">
        <v>44</v>
      </c>
      <c r="E8" s="54">
        <v>1</v>
      </c>
      <c r="F8" s="55">
        <v>0</v>
      </c>
      <c r="G8" s="56">
        <f t="shared" ref="G8:G14" si="0">(F8*E8)+E8</f>
        <v>1</v>
      </c>
      <c r="H8" s="54" t="s">
        <v>45</v>
      </c>
      <c r="I8" s="84">
        <v>0</v>
      </c>
      <c r="J8" s="85">
        <f t="shared" ref="J8:J14" si="1">+I8*G8</f>
        <v>0</v>
      </c>
      <c r="K8" s="86">
        <v>0</v>
      </c>
      <c r="L8" s="87">
        <f t="shared" ref="L8:L14" si="2">I8*K8</f>
        <v>0</v>
      </c>
      <c r="M8" s="87">
        <f t="shared" ref="M8:M14" si="3">K8*J8</f>
        <v>0</v>
      </c>
      <c r="N8" s="87">
        <v>0</v>
      </c>
      <c r="O8" s="87">
        <f t="shared" ref="O8:O14" si="4">N8*G8</f>
        <v>0</v>
      </c>
      <c r="P8" s="87">
        <f>(I8*K8)+N8</f>
        <v>0</v>
      </c>
      <c r="Q8" s="361">
        <v>88000</v>
      </c>
      <c r="R8" s="98"/>
    </row>
    <row r="9" spans="1:18">
      <c r="A9" s="57">
        <f>IF(F9&lt;&gt;"",1+MAX($A$2:A8),"")</f>
        <v>2</v>
      </c>
      <c r="B9" s="58"/>
      <c r="C9" s="58"/>
      <c r="D9" s="59" t="s">
        <v>46</v>
      </c>
      <c r="E9" s="60">
        <v>1</v>
      </c>
      <c r="F9" s="61">
        <v>0</v>
      </c>
      <c r="G9" s="62">
        <f t="shared" si="0"/>
        <v>1</v>
      </c>
      <c r="H9" s="60" t="s">
        <v>45</v>
      </c>
      <c r="I9" s="84">
        <v>0</v>
      </c>
      <c r="J9" s="85">
        <f t="shared" si="1"/>
        <v>0</v>
      </c>
      <c r="K9" s="86">
        <v>0</v>
      </c>
      <c r="L9" s="87">
        <f t="shared" si="2"/>
        <v>0</v>
      </c>
      <c r="M9" s="87">
        <f t="shared" si="3"/>
        <v>0</v>
      </c>
      <c r="N9" s="87">
        <v>0</v>
      </c>
      <c r="O9" s="87">
        <f t="shared" si="4"/>
        <v>0</v>
      </c>
      <c r="P9" s="87">
        <f t="shared" ref="P9:P14" si="5">(I9*K9)+N9</f>
        <v>0</v>
      </c>
      <c r="Q9" s="362"/>
      <c r="R9" s="98"/>
    </row>
    <row r="10" spans="1:18">
      <c r="A10" s="57">
        <f>IF(F10&lt;&gt;"",1+MAX($A$2:A9),"")</f>
        <v>3</v>
      </c>
      <c r="B10" s="58"/>
      <c r="C10" s="58"/>
      <c r="D10" s="59" t="s">
        <v>47</v>
      </c>
      <c r="E10" s="60">
        <v>1</v>
      </c>
      <c r="F10" s="61">
        <v>0</v>
      </c>
      <c r="G10" s="62">
        <f t="shared" si="0"/>
        <v>1</v>
      </c>
      <c r="H10" s="60" t="s">
        <v>45</v>
      </c>
      <c r="I10" s="84">
        <v>0</v>
      </c>
      <c r="J10" s="85">
        <f t="shared" si="1"/>
        <v>0</v>
      </c>
      <c r="K10" s="86">
        <v>0</v>
      </c>
      <c r="L10" s="87">
        <f t="shared" si="2"/>
        <v>0</v>
      </c>
      <c r="M10" s="87">
        <f t="shared" si="3"/>
        <v>0</v>
      </c>
      <c r="N10" s="87">
        <v>0</v>
      </c>
      <c r="O10" s="87">
        <f t="shared" si="4"/>
        <v>0</v>
      </c>
      <c r="P10" s="87">
        <f t="shared" si="5"/>
        <v>0</v>
      </c>
      <c r="Q10" s="362"/>
      <c r="R10" s="98"/>
    </row>
    <row r="11" spans="1:18">
      <c r="A11" s="57">
        <f>IF(F11&lt;&gt;"",1+MAX($A$2:A10),"")</f>
        <v>4</v>
      </c>
      <c r="B11" s="58"/>
      <c r="C11" s="58"/>
      <c r="D11" s="59" t="s">
        <v>48</v>
      </c>
      <c r="E11" s="60">
        <v>1</v>
      </c>
      <c r="F11" s="61">
        <v>0</v>
      </c>
      <c r="G11" s="62">
        <f t="shared" si="0"/>
        <v>1</v>
      </c>
      <c r="H11" s="60" t="s">
        <v>45</v>
      </c>
      <c r="I11" s="84">
        <v>0</v>
      </c>
      <c r="J11" s="85">
        <f t="shared" si="1"/>
        <v>0</v>
      </c>
      <c r="K11" s="86">
        <v>0</v>
      </c>
      <c r="L11" s="87">
        <f t="shared" si="2"/>
        <v>0</v>
      </c>
      <c r="M11" s="87">
        <f t="shared" si="3"/>
        <v>0</v>
      </c>
      <c r="N11" s="87">
        <v>0</v>
      </c>
      <c r="O11" s="87">
        <f t="shared" si="4"/>
        <v>0</v>
      </c>
      <c r="P11" s="87">
        <f t="shared" si="5"/>
        <v>0</v>
      </c>
      <c r="Q11" s="362"/>
      <c r="R11" s="98"/>
    </row>
    <row r="12" spans="1:18">
      <c r="A12" s="57">
        <f>IF(F12&lt;&gt;"",1+MAX($A$2:A11),"")</f>
        <v>5</v>
      </c>
      <c r="B12" s="58"/>
      <c r="C12" s="58"/>
      <c r="D12" s="59" t="s">
        <v>49</v>
      </c>
      <c r="E12" s="60">
        <v>1</v>
      </c>
      <c r="F12" s="61">
        <v>0</v>
      </c>
      <c r="G12" s="62">
        <f t="shared" si="0"/>
        <v>1</v>
      </c>
      <c r="H12" s="60" t="s">
        <v>45</v>
      </c>
      <c r="I12" s="84">
        <v>0</v>
      </c>
      <c r="J12" s="85">
        <f t="shared" si="1"/>
        <v>0</v>
      </c>
      <c r="K12" s="86">
        <v>0</v>
      </c>
      <c r="L12" s="87">
        <f t="shared" si="2"/>
        <v>0</v>
      </c>
      <c r="M12" s="87">
        <f t="shared" si="3"/>
        <v>0</v>
      </c>
      <c r="N12" s="87">
        <v>0</v>
      </c>
      <c r="O12" s="87">
        <f t="shared" si="4"/>
        <v>0</v>
      </c>
      <c r="P12" s="87">
        <f t="shared" si="5"/>
        <v>0</v>
      </c>
      <c r="Q12" s="362"/>
      <c r="R12" s="98"/>
    </row>
    <row r="13" spans="1:18">
      <c r="A13" s="57">
        <f>IF(F13&lt;&gt;"",1+MAX($A$2:A12),"")</f>
        <v>6</v>
      </c>
      <c r="B13" s="58"/>
      <c r="C13" s="58"/>
      <c r="D13" s="59" t="s">
        <v>50</v>
      </c>
      <c r="E13" s="60">
        <v>1</v>
      </c>
      <c r="F13" s="61">
        <v>0</v>
      </c>
      <c r="G13" s="62">
        <f t="shared" si="0"/>
        <v>1</v>
      </c>
      <c r="H13" s="60" t="s">
        <v>45</v>
      </c>
      <c r="I13" s="84">
        <v>0</v>
      </c>
      <c r="J13" s="85">
        <f t="shared" si="1"/>
        <v>0</v>
      </c>
      <c r="K13" s="86">
        <v>0</v>
      </c>
      <c r="L13" s="87">
        <f t="shared" si="2"/>
        <v>0</v>
      </c>
      <c r="M13" s="87">
        <f t="shared" si="3"/>
        <v>0</v>
      </c>
      <c r="N13" s="87">
        <v>0</v>
      </c>
      <c r="O13" s="87">
        <f t="shared" si="4"/>
        <v>0</v>
      </c>
      <c r="P13" s="87">
        <f t="shared" si="5"/>
        <v>0</v>
      </c>
      <c r="Q13" s="362"/>
      <c r="R13" s="98"/>
    </row>
    <row r="14" spans="1:18">
      <c r="A14" s="57">
        <f>IF(F14&lt;&gt;"",1+MAX($A$2:A13),"")</f>
        <v>7</v>
      </c>
      <c r="B14" s="58"/>
      <c r="C14" s="58"/>
      <c r="D14" s="63" t="s">
        <v>51</v>
      </c>
      <c r="E14" s="64">
        <v>1</v>
      </c>
      <c r="F14" s="65">
        <v>0</v>
      </c>
      <c r="G14" s="66">
        <f t="shared" si="0"/>
        <v>1</v>
      </c>
      <c r="H14" s="64" t="s">
        <v>45</v>
      </c>
      <c r="I14" s="88">
        <v>0</v>
      </c>
      <c r="J14" s="89">
        <f t="shared" si="1"/>
        <v>0</v>
      </c>
      <c r="K14" s="90">
        <v>0</v>
      </c>
      <c r="L14" s="91">
        <f t="shared" si="2"/>
        <v>0</v>
      </c>
      <c r="M14" s="91">
        <f t="shared" si="3"/>
        <v>0</v>
      </c>
      <c r="N14" s="91">
        <v>0</v>
      </c>
      <c r="O14" s="91">
        <f t="shared" si="4"/>
        <v>0</v>
      </c>
      <c r="P14" s="87">
        <f t="shared" si="5"/>
        <v>0</v>
      </c>
      <c r="Q14" s="363"/>
      <c r="R14" s="98"/>
    </row>
    <row r="15" spans="1:18">
      <c r="A15" s="57" t="str">
        <f>IF(F15&lt;&gt;"",1+MAX($A$2:A14),"")</f>
        <v/>
      </c>
      <c r="B15" s="67"/>
      <c r="C15" s="67"/>
      <c r="D15" s="68" t="s">
        <v>52</v>
      </c>
      <c r="E15" s="64"/>
      <c r="F15" s="65"/>
      <c r="G15" s="66"/>
      <c r="H15" s="64"/>
      <c r="I15" s="88"/>
      <c r="J15" s="89"/>
      <c r="K15" s="90"/>
      <c r="L15" s="91"/>
      <c r="M15" s="91"/>
      <c r="N15" s="91"/>
      <c r="O15" s="91"/>
      <c r="P15" s="87"/>
      <c r="Q15" s="97"/>
      <c r="R15" s="98"/>
    </row>
    <row r="16" spans="1:18" s="26" customFormat="1">
      <c r="A16" s="57" t="str">
        <f>IF(F16&lt;&gt;"",1+MAX($A$2:A15),"")</f>
        <v/>
      </c>
      <c r="B16" s="69"/>
      <c r="C16" s="70"/>
      <c r="D16" s="71" t="s">
        <v>53</v>
      </c>
      <c r="E16" s="72"/>
      <c r="F16" s="72"/>
      <c r="G16" s="72"/>
      <c r="H16" s="72"/>
      <c r="I16" s="72"/>
      <c r="J16" s="72"/>
      <c r="K16" s="92"/>
      <c r="L16" s="92"/>
      <c r="M16" s="92"/>
      <c r="N16" s="92"/>
      <c r="O16" s="92"/>
      <c r="P16" s="92"/>
      <c r="Q16" s="99">
        <f>SUM(Q8:Q14)</f>
        <v>88000</v>
      </c>
      <c r="R16" s="100"/>
    </row>
    <row r="17" spans="1:19" s="26" customFormat="1">
      <c r="A17" s="57" t="str">
        <f>IF(F17&lt;&gt;"",1+MAX($A$2:A16),"")</f>
        <v/>
      </c>
      <c r="B17" s="69"/>
      <c r="C17" s="69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101"/>
      <c r="R17" s="100"/>
    </row>
    <row r="18" spans="1:19" s="28" customFormat="1">
      <c r="A18" s="57" t="str">
        <f>IF(F18&lt;&gt;"",1+MAX($A$2:A17),"")</f>
        <v/>
      </c>
      <c r="B18" s="48"/>
      <c r="C18" s="48">
        <v>2</v>
      </c>
      <c r="D18" s="50" t="s">
        <v>54</v>
      </c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96"/>
      <c r="S18" s="102"/>
    </row>
    <row r="19" spans="1:19">
      <c r="A19" s="57" t="str">
        <f>IF(F19&lt;&gt;"",1+MAX($A$2:A18),"")</f>
        <v/>
      </c>
      <c r="B19" s="343" t="s">
        <v>55</v>
      </c>
      <c r="C19" s="74"/>
      <c r="D19" s="75" t="s">
        <v>56</v>
      </c>
      <c r="E19" s="76"/>
      <c r="F19" s="61"/>
      <c r="G19" s="62"/>
      <c r="H19" s="62"/>
      <c r="I19" s="62"/>
      <c r="J19" s="62"/>
      <c r="K19" s="93"/>
      <c r="L19" s="93"/>
      <c r="M19" s="93"/>
      <c r="N19" s="93"/>
      <c r="O19" s="93"/>
      <c r="P19" s="93"/>
      <c r="Q19" s="103"/>
      <c r="R19" s="98"/>
    </row>
    <row r="20" spans="1:19">
      <c r="A20" s="57">
        <f>IF(F20&lt;&gt;"",1+MAX($A$2:A19),"")</f>
        <v>8</v>
      </c>
      <c r="B20" s="344"/>
      <c r="C20" s="52"/>
      <c r="D20" s="53" t="s">
        <v>57</v>
      </c>
      <c r="E20" s="77">
        <v>357.78</v>
      </c>
      <c r="F20" s="55">
        <v>0</v>
      </c>
      <c r="G20" s="56">
        <f t="shared" ref="G20:G74" si="6">(F20*E20)+E20</f>
        <v>357.78</v>
      </c>
      <c r="H20" s="54" t="s">
        <v>58</v>
      </c>
      <c r="I20" s="84">
        <v>4.2000000000000003E-2</v>
      </c>
      <c r="J20" s="85">
        <f t="shared" ref="J20:J39" si="7">+I20*G20</f>
        <v>15.026759999999999</v>
      </c>
      <c r="K20" s="86">
        <f>'LABOR SHEET'!C$7</f>
        <v>83.49</v>
      </c>
      <c r="L20" s="87">
        <f t="shared" ref="L20:L39" si="8">I20*K20</f>
        <v>3.50658</v>
      </c>
      <c r="M20" s="87">
        <f t="shared" ref="M20:M39" si="9">K20*J20</f>
        <v>1254.5841923999999</v>
      </c>
      <c r="N20" s="87">
        <v>0</v>
      </c>
      <c r="O20" s="87">
        <f t="shared" ref="O20:O39" si="10">N20*G20</f>
        <v>0</v>
      </c>
      <c r="P20" s="87">
        <f t="shared" ref="P20:P39" si="11">(I20*K20)+N20</f>
        <v>3.50658</v>
      </c>
      <c r="Q20" s="104">
        <f t="shared" ref="Q20:Q39" si="12">P20*G20</f>
        <v>1254.5841923999999</v>
      </c>
      <c r="R20" s="98"/>
    </row>
    <row r="21" spans="1:19">
      <c r="A21" s="57">
        <f>IF(F21&lt;&gt;"",1+MAX($A$2:A20),"")</f>
        <v>9</v>
      </c>
      <c r="B21" s="344"/>
      <c r="C21" s="58"/>
      <c r="D21" s="53" t="s">
        <v>59</v>
      </c>
      <c r="E21" s="78">
        <v>363.45</v>
      </c>
      <c r="F21" s="61">
        <v>0</v>
      </c>
      <c r="G21" s="56">
        <f t="shared" si="6"/>
        <v>363.45</v>
      </c>
      <c r="H21" s="54" t="s">
        <v>58</v>
      </c>
      <c r="I21" s="84">
        <v>4.4999999999999998E-2</v>
      </c>
      <c r="J21" s="85">
        <f t="shared" si="7"/>
        <v>16.355250000000002</v>
      </c>
      <c r="K21" s="86">
        <f>'LABOR SHEET'!C$11</f>
        <v>70</v>
      </c>
      <c r="L21" s="87">
        <f t="shared" si="8"/>
        <v>3.15</v>
      </c>
      <c r="M21" s="87">
        <f t="shared" si="9"/>
        <v>1144.8675000000001</v>
      </c>
      <c r="N21" s="87">
        <v>0</v>
      </c>
      <c r="O21" s="87">
        <f t="shared" si="10"/>
        <v>0</v>
      </c>
      <c r="P21" s="87">
        <f t="shared" si="11"/>
        <v>3.15</v>
      </c>
      <c r="Q21" s="104">
        <f t="shared" si="12"/>
        <v>1144.8675000000001</v>
      </c>
      <c r="R21" s="98"/>
    </row>
    <row r="22" spans="1:19">
      <c r="A22" s="57">
        <f>IF(F22&lt;&gt;"",1+MAX($A$2:A21),"")</f>
        <v>10</v>
      </c>
      <c r="B22" s="344"/>
      <c r="C22" s="58"/>
      <c r="D22" s="53" t="s">
        <v>60</v>
      </c>
      <c r="E22" s="78">
        <v>95.78</v>
      </c>
      <c r="F22" s="61">
        <v>0</v>
      </c>
      <c r="G22" s="56">
        <f t="shared" si="6"/>
        <v>95.78</v>
      </c>
      <c r="H22" s="54" t="s">
        <v>58</v>
      </c>
      <c r="I22" s="84">
        <v>3.2000000000000001E-2</v>
      </c>
      <c r="J22" s="85">
        <f t="shared" si="7"/>
        <v>3.0649600000000001</v>
      </c>
      <c r="K22" s="86">
        <f>'LABOR SHEET'!C$11</f>
        <v>70</v>
      </c>
      <c r="L22" s="87">
        <f t="shared" si="8"/>
        <v>2.2400000000000002</v>
      </c>
      <c r="M22" s="87">
        <f t="shared" si="9"/>
        <v>214.5472</v>
      </c>
      <c r="N22" s="87">
        <v>0</v>
      </c>
      <c r="O22" s="87">
        <f t="shared" si="10"/>
        <v>0</v>
      </c>
      <c r="P22" s="87">
        <f t="shared" si="11"/>
        <v>2.2400000000000002</v>
      </c>
      <c r="Q22" s="104">
        <f t="shared" si="12"/>
        <v>214.5472</v>
      </c>
      <c r="R22" s="98"/>
    </row>
    <row r="23" spans="1:19">
      <c r="A23" s="57">
        <f>IF(F23&lt;&gt;"",1+MAX($A$2:A22),"")</f>
        <v>11</v>
      </c>
      <c r="B23" s="344"/>
      <c r="C23" s="58"/>
      <c r="D23" s="53" t="s">
        <v>61</v>
      </c>
      <c r="E23" s="78">
        <v>2365.38</v>
      </c>
      <c r="F23" s="61">
        <v>0</v>
      </c>
      <c r="G23" s="56">
        <f t="shared" si="6"/>
        <v>2365.38</v>
      </c>
      <c r="H23" s="54" t="s">
        <v>58</v>
      </c>
      <c r="I23" s="84">
        <v>0.02</v>
      </c>
      <c r="J23" s="85">
        <f t="shared" si="7"/>
        <v>47.307600000000001</v>
      </c>
      <c r="K23" s="86">
        <f>'LABOR SHEET'!C$7</f>
        <v>83.49</v>
      </c>
      <c r="L23" s="87">
        <f t="shared" si="8"/>
        <v>1.6698</v>
      </c>
      <c r="M23" s="87">
        <f t="shared" si="9"/>
        <v>3949.7115239999998</v>
      </c>
      <c r="N23" s="87">
        <v>0</v>
      </c>
      <c r="O23" s="87">
        <f t="shared" si="10"/>
        <v>0</v>
      </c>
      <c r="P23" s="87">
        <f t="shared" si="11"/>
        <v>1.6698</v>
      </c>
      <c r="Q23" s="104">
        <f t="shared" si="12"/>
        <v>3949.7115239999998</v>
      </c>
      <c r="R23" s="98"/>
    </row>
    <row r="24" spans="1:19">
      <c r="A24" s="57">
        <f>IF(F24&lt;&gt;"",1+MAX($A$2:A23),"")</f>
        <v>12</v>
      </c>
      <c r="B24" s="344"/>
      <c r="C24" s="58"/>
      <c r="D24" s="53" t="s">
        <v>62</v>
      </c>
      <c r="E24" s="78">
        <v>637.65</v>
      </c>
      <c r="F24" s="61">
        <v>0</v>
      </c>
      <c r="G24" s="56">
        <f t="shared" si="6"/>
        <v>637.65</v>
      </c>
      <c r="H24" s="54" t="s">
        <v>58</v>
      </c>
      <c r="I24" s="84">
        <v>2.5999999999999999E-2</v>
      </c>
      <c r="J24" s="85">
        <f t="shared" si="7"/>
        <v>16.578900000000001</v>
      </c>
      <c r="K24" s="86">
        <f>'LABOR SHEET'!C$7</f>
        <v>83.49</v>
      </c>
      <c r="L24" s="87">
        <f t="shared" si="8"/>
        <v>2.1707399999999999</v>
      </c>
      <c r="M24" s="87">
        <f t="shared" si="9"/>
        <v>1384.1723609999999</v>
      </c>
      <c r="N24" s="87">
        <v>0</v>
      </c>
      <c r="O24" s="87">
        <f t="shared" si="10"/>
        <v>0</v>
      </c>
      <c r="P24" s="87">
        <f t="shared" si="11"/>
        <v>2.1707399999999999</v>
      </c>
      <c r="Q24" s="104">
        <f t="shared" si="12"/>
        <v>1384.1723609999999</v>
      </c>
      <c r="R24" s="98"/>
    </row>
    <row r="25" spans="1:19">
      <c r="A25" s="57">
        <f>IF(F25&lt;&gt;"",1+MAX($A$2:A24),"")</f>
        <v>13</v>
      </c>
      <c r="B25" s="344"/>
      <c r="C25" s="52"/>
      <c r="D25" s="53" t="s">
        <v>63</v>
      </c>
      <c r="E25" s="54">
        <v>1720</v>
      </c>
      <c r="F25" s="55">
        <v>0</v>
      </c>
      <c r="G25" s="56">
        <f t="shared" si="6"/>
        <v>1720</v>
      </c>
      <c r="H25" s="54" t="s">
        <v>58</v>
      </c>
      <c r="I25" s="84">
        <v>1.7999999999999999E-2</v>
      </c>
      <c r="J25" s="85">
        <f t="shared" si="7"/>
        <v>30.96</v>
      </c>
      <c r="K25" s="86">
        <f>'LABOR SHEET'!C$7</f>
        <v>83.49</v>
      </c>
      <c r="L25" s="87">
        <f t="shared" si="8"/>
        <v>1.50282</v>
      </c>
      <c r="M25" s="87">
        <f t="shared" si="9"/>
        <v>2584.8503999999998</v>
      </c>
      <c r="N25" s="87">
        <v>0</v>
      </c>
      <c r="O25" s="87">
        <f t="shared" si="10"/>
        <v>0</v>
      </c>
      <c r="P25" s="87">
        <f t="shared" si="11"/>
        <v>1.50282</v>
      </c>
      <c r="Q25" s="104">
        <f t="shared" si="12"/>
        <v>2584.8503999999998</v>
      </c>
      <c r="R25" s="98"/>
    </row>
    <row r="26" spans="1:19">
      <c r="A26" s="57">
        <f>IF(F26&lt;&gt;"",1+MAX($A$2:A25),"")</f>
        <v>14</v>
      </c>
      <c r="B26" s="344"/>
      <c r="C26" s="58"/>
      <c r="D26" s="53" t="s">
        <v>64</v>
      </c>
      <c r="E26" s="78">
        <v>3853.43</v>
      </c>
      <c r="F26" s="61">
        <v>0</v>
      </c>
      <c r="G26" s="56">
        <f t="shared" si="6"/>
        <v>3853.43</v>
      </c>
      <c r="H26" s="54" t="s">
        <v>58</v>
      </c>
      <c r="I26" s="84">
        <v>2.5000000000000001E-2</v>
      </c>
      <c r="J26" s="85">
        <f t="shared" si="7"/>
        <v>96.335750000000004</v>
      </c>
      <c r="K26" s="86">
        <f>'LABOR SHEET'!C$10</f>
        <v>77.95</v>
      </c>
      <c r="L26" s="87">
        <f t="shared" si="8"/>
        <v>1.94875</v>
      </c>
      <c r="M26" s="87">
        <f t="shared" si="9"/>
        <v>7509.3717125000003</v>
      </c>
      <c r="N26" s="87">
        <v>0</v>
      </c>
      <c r="O26" s="87">
        <f t="shared" si="10"/>
        <v>0</v>
      </c>
      <c r="P26" s="87">
        <f t="shared" si="11"/>
        <v>1.94875</v>
      </c>
      <c r="Q26" s="104">
        <f t="shared" si="12"/>
        <v>7509.3717125000003</v>
      </c>
      <c r="R26" s="98"/>
    </row>
    <row r="27" spans="1:19">
      <c r="A27" s="57">
        <f>IF(F27&lt;&gt;"",1+MAX($A$2:A26),"")</f>
        <v>15</v>
      </c>
      <c r="B27" s="344"/>
      <c r="C27" s="58"/>
      <c r="D27" s="53" t="s">
        <v>65</v>
      </c>
      <c r="E27" s="78">
        <v>2562.1999999999998</v>
      </c>
      <c r="F27" s="61">
        <v>0</v>
      </c>
      <c r="G27" s="56">
        <f t="shared" si="6"/>
        <v>2562.1999999999998</v>
      </c>
      <c r="H27" s="54" t="s">
        <v>58</v>
      </c>
      <c r="I27" s="84">
        <v>0.03</v>
      </c>
      <c r="J27" s="85">
        <f t="shared" si="7"/>
        <v>76.866</v>
      </c>
      <c r="K27" s="86">
        <f>'LABOR SHEET'!C$10</f>
        <v>77.95</v>
      </c>
      <c r="L27" s="87">
        <f t="shared" si="8"/>
        <v>2.3384999999999998</v>
      </c>
      <c r="M27" s="87">
        <f t="shared" si="9"/>
        <v>5991.7047000000002</v>
      </c>
      <c r="N27" s="87">
        <v>0</v>
      </c>
      <c r="O27" s="87">
        <f t="shared" si="10"/>
        <v>0</v>
      </c>
      <c r="P27" s="87">
        <f t="shared" si="11"/>
        <v>2.3384999999999998</v>
      </c>
      <c r="Q27" s="104">
        <f t="shared" si="12"/>
        <v>5991.7047000000002</v>
      </c>
      <c r="R27" s="98"/>
    </row>
    <row r="28" spans="1:19">
      <c r="A28" s="57">
        <f>IF(F28&lt;&gt;"",1+MAX($A$2:A27),"")</f>
        <v>16</v>
      </c>
      <c r="B28" s="344"/>
      <c r="C28" s="58"/>
      <c r="D28" s="53" t="s">
        <v>66</v>
      </c>
      <c r="E28" s="78">
        <v>592.64</v>
      </c>
      <c r="F28" s="61">
        <v>0</v>
      </c>
      <c r="G28" s="56">
        <f t="shared" si="6"/>
        <v>592.64</v>
      </c>
      <c r="H28" s="54" t="s">
        <v>58</v>
      </c>
      <c r="I28" s="84">
        <v>0.04</v>
      </c>
      <c r="J28" s="85">
        <f t="shared" si="7"/>
        <v>23.7056</v>
      </c>
      <c r="K28" s="86">
        <f>'LABOR SHEET'!C$10</f>
        <v>77.95</v>
      </c>
      <c r="L28" s="87">
        <f t="shared" si="8"/>
        <v>3.1179999999999999</v>
      </c>
      <c r="M28" s="87">
        <f t="shared" si="9"/>
        <v>1847.8515199999999</v>
      </c>
      <c r="N28" s="87">
        <v>0</v>
      </c>
      <c r="O28" s="87">
        <f t="shared" si="10"/>
        <v>0</v>
      </c>
      <c r="P28" s="87">
        <f t="shared" si="11"/>
        <v>3.1179999999999999</v>
      </c>
      <c r="Q28" s="104">
        <f t="shared" si="12"/>
        <v>1847.8515199999999</v>
      </c>
      <c r="R28" s="98"/>
    </row>
    <row r="29" spans="1:19">
      <c r="A29" s="57">
        <f>IF(F29&lt;&gt;"",1+MAX($A$2:A28),"")</f>
        <v>17</v>
      </c>
      <c r="B29" s="344"/>
      <c r="C29" s="58"/>
      <c r="D29" s="53" t="s">
        <v>67</v>
      </c>
      <c r="E29" s="78">
        <v>932.2</v>
      </c>
      <c r="F29" s="61">
        <v>0</v>
      </c>
      <c r="G29" s="56">
        <f t="shared" si="6"/>
        <v>932.2</v>
      </c>
      <c r="H29" s="54" t="s">
        <v>58</v>
      </c>
      <c r="I29" s="84">
        <v>0.03</v>
      </c>
      <c r="J29" s="85">
        <f t="shared" si="7"/>
        <v>27.966000000000001</v>
      </c>
      <c r="K29" s="86">
        <f>'LABOR SHEET'!C$10</f>
        <v>77.95</v>
      </c>
      <c r="L29" s="87">
        <f t="shared" si="8"/>
        <v>2.3384999999999998</v>
      </c>
      <c r="M29" s="87">
        <f t="shared" si="9"/>
        <v>2179.9497000000001</v>
      </c>
      <c r="N29" s="87">
        <v>0</v>
      </c>
      <c r="O29" s="87">
        <f t="shared" si="10"/>
        <v>0</v>
      </c>
      <c r="P29" s="87">
        <f t="shared" si="11"/>
        <v>2.3384999999999998</v>
      </c>
      <c r="Q29" s="104">
        <f t="shared" si="12"/>
        <v>2179.9497000000001</v>
      </c>
      <c r="R29" s="98"/>
    </row>
    <row r="30" spans="1:19">
      <c r="A30" s="57">
        <f>IF(F30&lt;&gt;"",1+MAX($A$2:A29),"")</f>
        <v>18</v>
      </c>
      <c r="B30" s="344"/>
      <c r="C30" s="52"/>
      <c r="D30" s="53" t="s">
        <v>68</v>
      </c>
      <c r="E30" s="77">
        <v>699.13</v>
      </c>
      <c r="F30" s="55">
        <v>0</v>
      </c>
      <c r="G30" s="56">
        <f t="shared" si="6"/>
        <v>699.13</v>
      </c>
      <c r="H30" s="54" t="s">
        <v>58</v>
      </c>
      <c r="I30" s="84">
        <v>0.04</v>
      </c>
      <c r="J30" s="85">
        <f t="shared" si="7"/>
        <v>27.965199999999999</v>
      </c>
      <c r="K30" s="86">
        <f>'LABOR SHEET'!C$10</f>
        <v>77.95</v>
      </c>
      <c r="L30" s="87">
        <f t="shared" si="8"/>
        <v>3.1179999999999999</v>
      </c>
      <c r="M30" s="87">
        <f t="shared" si="9"/>
        <v>2179.8873400000002</v>
      </c>
      <c r="N30" s="87">
        <v>0</v>
      </c>
      <c r="O30" s="87">
        <f t="shared" si="10"/>
        <v>0</v>
      </c>
      <c r="P30" s="87">
        <f t="shared" si="11"/>
        <v>3.1179999999999999</v>
      </c>
      <c r="Q30" s="104">
        <f t="shared" si="12"/>
        <v>2179.8873400000002</v>
      </c>
      <c r="R30" s="98"/>
    </row>
    <row r="31" spans="1:19">
      <c r="A31" s="57">
        <f>IF(F31&lt;&gt;"",1+MAX($A$2:A30),"")</f>
        <v>19</v>
      </c>
      <c r="B31" s="344"/>
      <c r="C31" s="58"/>
      <c r="D31" s="53" t="s">
        <v>69</v>
      </c>
      <c r="E31" s="78">
        <v>5131.54</v>
      </c>
      <c r="F31" s="61">
        <v>0</v>
      </c>
      <c r="G31" s="56">
        <f t="shared" si="6"/>
        <v>5131.54</v>
      </c>
      <c r="H31" s="60" t="s">
        <v>58</v>
      </c>
      <c r="I31" s="84">
        <v>2.8000000000000001E-2</v>
      </c>
      <c r="J31" s="85">
        <f t="shared" si="7"/>
        <v>143.68312</v>
      </c>
      <c r="K31" s="86">
        <f>'LABOR SHEET'!C$7</f>
        <v>83.49</v>
      </c>
      <c r="L31" s="87">
        <f t="shared" si="8"/>
        <v>2.33772</v>
      </c>
      <c r="M31" s="87">
        <f t="shared" si="9"/>
        <v>11996.1036888</v>
      </c>
      <c r="N31" s="87">
        <v>0</v>
      </c>
      <c r="O31" s="87">
        <f t="shared" si="10"/>
        <v>0</v>
      </c>
      <c r="P31" s="87">
        <f t="shared" si="11"/>
        <v>2.33772</v>
      </c>
      <c r="Q31" s="104">
        <f t="shared" si="12"/>
        <v>11996.1036888</v>
      </c>
      <c r="R31" s="98"/>
    </row>
    <row r="32" spans="1:19">
      <c r="A32" s="57">
        <f>IF(F32&lt;&gt;"",1+MAX($A$2:A31),"")</f>
        <v>20</v>
      </c>
      <c r="B32" s="344"/>
      <c r="C32" s="58"/>
      <c r="D32" s="53" t="s">
        <v>70</v>
      </c>
      <c r="E32" s="78">
        <v>25.11</v>
      </c>
      <c r="F32" s="61">
        <v>0</v>
      </c>
      <c r="G32" s="56">
        <f t="shared" si="6"/>
        <v>25.11</v>
      </c>
      <c r="H32" s="60" t="s">
        <v>71</v>
      </c>
      <c r="I32" s="84">
        <v>0.1</v>
      </c>
      <c r="J32" s="85">
        <f t="shared" si="7"/>
        <v>2.5110000000000001</v>
      </c>
      <c r="K32" s="86">
        <f>'LABOR SHEET'!C$8</f>
        <v>75</v>
      </c>
      <c r="L32" s="87">
        <f t="shared" si="8"/>
        <v>7.5</v>
      </c>
      <c r="M32" s="87">
        <f t="shared" si="9"/>
        <v>188.32499999999999</v>
      </c>
      <c r="N32" s="87">
        <v>0</v>
      </c>
      <c r="O32" s="87">
        <f t="shared" si="10"/>
        <v>0</v>
      </c>
      <c r="P32" s="87">
        <f t="shared" si="11"/>
        <v>7.5</v>
      </c>
      <c r="Q32" s="104">
        <f t="shared" si="12"/>
        <v>188.32499999999999</v>
      </c>
      <c r="R32" s="98"/>
    </row>
    <row r="33" spans="1:18">
      <c r="A33" s="57">
        <f>IF(F33&lt;&gt;"",1+MAX($A$2:A32),"")</f>
        <v>21</v>
      </c>
      <c r="B33" s="344"/>
      <c r="C33" s="58"/>
      <c r="D33" s="53" t="s">
        <v>72</v>
      </c>
      <c r="E33" s="78">
        <v>640.54999999999995</v>
      </c>
      <c r="F33" s="61">
        <v>0</v>
      </c>
      <c r="G33" s="56">
        <f t="shared" si="6"/>
        <v>640.54999999999995</v>
      </c>
      <c r="H33" s="60" t="s">
        <v>71</v>
      </c>
      <c r="I33" s="84">
        <v>1.6E-2</v>
      </c>
      <c r="J33" s="85">
        <f t="shared" si="7"/>
        <v>10.248799999999999</v>
      </c>
      <c r="K33" s="86">
        <f>'LABOR SHEET'!C$3</f>
        <v>83.49</v>
      </c>
      <c r="L33" s="87">
        <f t="shared" si="8"/>
        <v>1.3358399999999999</v>
      </c>
      <c r="M33" s="87">
        <f t="shared" si="9"/>
        <v>855.67231200000003</v>
      </c>
      <c r="N33" s="87">
        <v>0</v>
      </c>
      <c r="O33" s="87">
        <f t="shared" si="10"/>
        <v>0</v>
      </c>
      <c r="P33" s="87">
        <f t="shared" si="11"/>
        <v>1.3358399999999999</v>
      </c>
      <c r="Q33" s="104">
        <f t="shared" si="12"/>
        <v>855.67231200000003</v>
      </c>
      <c r="R33" s="98"/>
    </row>
    <row r="34" spans="1:18">
      <c r="A34" s="57">
        <f>IF(F34&lt;&gt;"",1+MAX($A$2:A33),"")</f>
        <v>22</v>
      </c>
      <c r="B34" s="344"/>
      <c r="C34" s="58"/>
      <c r="D34" s="53" t="s">
        <v>73</v>
      </c>
      <c r="E34" s="78">
        <v>23.1</v>
      </c>
      <c r="F34" s="61">
        <v>0</v>
      </c>
      <c r="G34" s="56">
        <f t="shared" si="6"/>
        <v>23.1</v>
      </c>
      <c r="H34" s="60" t="s">
        <v>71</v>
      </c>
      <c r="I34" s="84">
        <v>0.3</v>
      </c>
      <c r="J34" s="85">
        <f t="shared" si="7"/>
        <v>6.93</v>
      </c>
      <c r="K34" s="86">
        <f>'LABOR SHEET'!C$3</f>
        <v>83.49</v>
      </c>
      <c r="L34" s="87">
        <f t="shared" si="8"/>
        <v>25.047000000000001</v>
      </c>
      <c r="M34" s="87">
        <f t="shared" si="9"/>
        <v>578.58569999999997</v>
      </c>
      <c r="N34" s="87">
        <v>0</v>
      </c>
      <c r="O34" s="87">
        <f t="shared" si="10"/>
        <v>0</v>
      </c>
      <c r="P34" s="87">
        <f t="shared" si="11"/>
        <v>25.047000000000001</v>
      </c>
      <c r="Q34" s="104">
        <f t="shared" si="12"/>
        <v>578.58569999999997</v>
      </c>
      <c r="R34" s="98"/>
    </row>
    <row r="35" spans="1:18">
      <c r="A35" s="57">
        <f>IF(F35&lt;&gt;"",1+MAX($A$2:A34),"")</f>
        <v>23</v>
      </c>
      <c r="B35" s="344"/>
      <c r="C35" s="52"/>
      <c r="D35" s="53" t="s">
        <v>74</v>
      </c>
      <c r="E35" s="77">
        <v>16.93</v>
      </c>
      <c r="F35" s="55">
        <v>0</v>
      </c>
      <c r="G35" s="56">
        <f t="shared" si="6"/>
        <v>16.93</v>
      </c>
      <c r="H35" s="60" t="s">
        <v>71</v>
      </c>
      <c r="I35" s="84">
        <v>0.24</v>
      </c>
      <c r="J35" s="85">
        <f t="shared" si="7"/>
        <v>4.0632000000000001</v>
      </c>
      <c r="K35" s="86">
        <f>'LABOR SHEET'!C$3</f>
        <v>83.49</v>
      </c>
      <c r="L35" s="87">
        <f t="shared" si="8"/>
        <v>20.037600000000001</v>
      </c>
      <c r="M35" s="87">
        <f t="shared" si="9"/>
        <v>339.23656799999998</v>
      </c>
      <c r="N35" s="87">
        <v>0</v>
      </c>
      <c r="O35" s="87">
        <f t="shared" si="10"/>
        <v>0</v>
      </c>
      <c r="P35" s="87">
        <f t="shared" si="11"/>
        <v>20.037600000000001</v>
      </c>
      <c r="Q35" s="104">
        <f t="shared" si="12"/>
        <v>339.23656799999998</v>
      </c>
      <c r="R35" s="98"/>
    </row>
    <row r="36" spans="1:18">
      <c r="A36" s="57">
        <f>IF(F36&lt;&gt;"",1+MAX($A$2:A35),"")</f>
        <v>24</v>
      </c>
      <c r="B36" s="344"/>
      <c r="C36" s="58"/>
      <c r="D36" s="53" t="s">
        <v>75</v>
      </c>
      <c r="E36" s="78">
        <v>13.31</v>
      </c>
      <c r="F36" s="61">
        <v>0</v>
      </c>
      <c r="G36" s="56">
        <f t="shared" si="6"/>
        <v>13.31</v>
      </c>
      <c r="H36" s="60" t="s">
        <v>71</v>
      </c>
      <c r="I36" s="84">
        <v>0.4</v>
      </c>
      <c r="J36" s="85">
        <f t="shared" si="7"/>
        <v>5.3239999999999998</v>
      </c>
      <c r="K36" s="86">
        <f>'LABOR SHEET'!C$3</f>
        <v>83.49</v>
      </c>
      <c r="L36" s="87">
        <f t="shared" si="8"/>
        <v>33.396000000000001</v>
      </c>
      <c r="M36" s="87">
        <f t="shared" si="9"/>
        <v>444.50076000000001</v>
      </c>
      <c r="N36" s="87">
        <v>0</v>
      </c>
      <c r="O36" s="87">
        <f t="shared" si="10"/>
        <v>0</v>
      </c>
      <c r="P36" s="87">
        <f t="shared" si="11"/>
        <v>33.396000000000001</v>
      </c>
      <c r="Q36" s="104">
        <f t="shared" si="12"/>
        <v>444.50076000000001</v>
      </c>
      <c r="R36" s="98"/>
    </row>
    <row r="37" spans="1:18">
      <c r="A37" s="57">
        <f>IF(F37&lt;&gt;"",1+MAX($A$2:A36),"")</f>
        <v>25</v>
      </c>
      <c r="B37" s="344"/>
      <c r="C37" s="58"/>
      <c r="D37" s="53" t="s">
        <v>76</v>
      </c>
      <c r="E37" s="78">
        <v>26.32</v>
      </c>
      <c r="F37" s="61">
        <v>0</v>
      </c>
      <c r="G37" s="56">
        <f t="shared" si="6"/>
        <v>26.32</v>
      </c>
      <c r="H37" s="60" t="s">
        <v>71</v>
      </c>
      <c r="I37" s="84">
        <v>0.26</v>
      </c>
      <c r="J37" s="85">
        <f t="shared" si="7"/>
        <v>6.8432000000000004</v>
      </c>
      <c r="K37" s="86">
        <f>'LABOR SHEET'!C$3</f>
        <v>83.49</v>
      </c>
      <c r="L37" s="87">
        <f t="shared" si="8"/>
        <v>21.7074</v>
      </c>
      <c r="M37" s="87">
        <f t="shared" si="9"/>
        <v>571.33876799999996</v>
      </c>
      <c r="N37" s="87">
        <v>0</v>
      </c>
      <c r="O37" s="87">
        <f t="shared" si="10"/>
        <v>0</v>
      </c>
      <c r="P37" s="87">
        <f t="shared" si="11"/>
        <v>21.7074</v>
      </c>
      <c r="Q37" s="104">
        <f t="shared" si="12"/>
        <v>571.33876799999996</v>
      </c>
      <c r="R37" s="98"/>
    </row>
    <row r="38" spans="1:18">
      <c r="A38" s="57">
        <f>IF(F38&lt;&gt;"",1+MAX($A$2:A37),"")</f>
        <v>26</v>
      </c>
      <c r="B38" s="344"/>
      <c r="C38" s="58"/>
      <c r="D38" s="53" t="s">
        <v>77</v>
      </c>
      <c r="E38" s="78">
        <v>24.73</v>
      </c>
      <c r="F38" s="61">
        <v>0</v>
      </c>
      <c r="G38" s="56">
        <f t="shared" si="6"/>
        <v>24.73</v>
      </c>
      <c r="H38" s="60" t="s">
        <v>71</v>
      </c>
      <c r="I38" s="84">
        <v>0.4</v>
      </c>
      <c r="J38" s="85">
        <f t="shared" si="7"/>
        <v>9.8919999999999995</v>
      </c>
      <c r="K38" s="86">
        <f>'LABOR SHEET'!C$3</f>
        <v>83.49</v>
      </c>
      <c r="L38" s="87">
        <f t="shared" si="8"/>
        <v>33.396000000000001</v>
      </c>
      <c r="M38" s="87">
        <f t="shared" si="9"/>
        <v>825.88307999999995</v>
      </c>
      <c r="N38" s="87">
        <v>0</v>
      </c>
      <c r="O38" s="87">
        <f t="shared" si="10"/>
        <v>0</v>
      </c>
      <c r="P38" s="87">
        <f t="shared" si="11"/>
        <v>33.396000000000001</v>
      </c>
      <c r="Q38" s="104">
        <f t="shared" si="12"/>
        <v>825.88307999999995</v>
      </c>
      <c r="R38" s="98"/>
    </row>
    <row r="39" spans="1:18">
      <c r="A39" s="57">
        <f>IF(F39&lt;&gt;"",1+MAX($A$2:A38),"")</f>
        <v>27</v>
      </c>
      <c r="B39" s="344"/>
      <c r="C39" s="58"/>
      <c r="D39" s="53" t="s">
        <v>78</v>
      </c>
      <c r="E39" s="78">
        <v>571.80999999999995</v>
      </c>
      <c r="F39" s="61">
        <v>0</v>
      </c>
      <c r="G39" s="56">
        <f t="shared" si="6"/>
        <v>571.80999999999995</v>
      </c>
      <c r="H39" s="60" t="s">
        <v>71</v>
      </c>
      <c r="I39" s="84">
        <v>2.5999999999999999E-2</v>
      </c>
      <c r="J39" s="85">
        <f t="shared" si="7"/>
        <v>14.86706</v>
      </c>
      <c r="K39" s="86">
        <f>'LABOR SHEET'!C$10</f>
        <v>77.95</v>
      </c>
      <c r="L39" s="87">
        <f t="shared" si="8"/>
        <v>2.0266999999999999</v>
      </c>
      <c r="M39" s="87">
        <f t="shared" si="9"/>
        <v>1158.8873269999999</v>
      </c>
      <c r="N39" s="87">
        <v>0</v>
      </c>
      <c r="O39" s="87">
        <f t="shared" si="10"/>
        <v>0</v>
      </c>
      <c r="P39" s="87">
        <f t="shared" si="11"/>
        <v>2.0266999999999999</v>
      </c>
      <c r="Q39" s="104">
        <f t="shared" si="12"/>
        <v>1158.8873269999999</v>
      </c>
      <c r="R39" s="98"/>
    </row>
    <row r="40" spans="1:18">
      <c r="A40" s="57">
        <f>IF(F40&lt;&gt;"",1+MAX($A$2:A39),"")</f>
        <v>28</v>
      </c>
      <c r="B40" s="344"/>
      <c r="C40" s="52"/>
      <c r="D40" s="53" t="s">
        <v>79</v>
      </c>
      <c r="E40" s="77">
        <v>35.4</v>
      </c>
      <c r="F40" s="55">
        <v>0</v>
      </c>
      <c r="G40" s="56">
        <f t="shared" si="6"/>
        <v>35.4</v>
      </c>
      <c r="H40" s="60" t="s">
        <v>71</v>
      </c>
      <c r="I40" s="84">
        <v>0.2</v>
      </c>
      <c r="J40" s="85">
        <f t="shared" ref="J40:J59" si="13">+I40*G40</f>
        <v>7.08</v>
      </c>
      <c r="K40" s="86">
        <f>'LABOR SHEET'!C$8</f>
        <v>75</v>
      </c>
      <c r="L40" s="87">
        <f t="shared" ref="L40:L59" si="14">I40*K40</f>
        <v>15</v>
      </c>
      <c r="M40" s="87">
        <f t="shared" ref="M40:M59" si="15">K40*J40</f>
        <v>531</v>
      </c>
      <c r="N40" s="87">
        <v>0</v>
      </c>
      <c r="O40" s="87">
        <f t="shared" ref="O40:O59" si="16">N40*G40</f>
        <v>0</v>
      </c>
      <c r="P40" s="87">
        <f t="shared" ref="P40:P59" si="17">(I40*K40)+N40</f>
        <v>15</v>
      </c>
      <c r="Q40" s="104">
        <f t="shared" ref="Q40:Q59" si="18">P40*G40</f>
        <v>531</v>
      </c>
      <c r="R40" s="98"/>
    </row>
    <row r="41" spans="1:18">
      <c r="A41" s="57">
        <f>IF(F41&lt;&gt;"",1+MAX($A$2:A40),"")</f>
        <v>29</v>
      </c>
      <c r="B41" s="344"/>
      <c r="C41" s="58"/>
      <c r="D41" s="53" t="s">
        <v>80</v>
      </c>
      <c r="E41" s="60">
        <v>4</v>
      </c>
      <c r="F41" s="61">
        <v>0</v>
      </c>
      <c r="G41" s="56">
        <f t="shared" si="6"/>
        <v>4</v>
      </c>
      <c r="H41" s="60" t="s">
        <v>81</v>
      </c>
      <c r="I41" s="84">
        <v>1</v>
      </c>
      <c r="J41" s="85">
        <f t="shared" si="13"/>
        <v>4</v>
      </c>
      <c r="K41" s="86">
        <f>'LABOR SHEET'!C$6</f>
        <v>92</v>
      </c>
      <c r="L41" s="87">
        <f t="shared" si="14"/>
        <v>92</v>
      </c>
      <c r="M41" s="87">
        <f t="shared" si="15"/>
        <v>368</v>
      </c>
      <c r="N41" s="87">
        <v>0</v>
      </c>
      <c r="O41" s="87">
        <f t="shared" si="16"/>
        <v>0</v>
      </c>
      <c r="P41" s="87">
        <f t="shared" si="17"/>
        <v>92</v>
      </c>
      <c r="Q41" s="104">
        <f t="shared" si="18"/>
        <v>368</v>
      </c>
      <c r="R41" s="98"/>
    </row>
    <row r="42" spans="1:18">
      <c r="A42" s="57">
        <f>IF(F42&lt;&gt;"",1+MAX($A$2:A41),"")</f>
        <v>30</v>
      </c>
      <c r="B42" s="344"/>
      <c r="C42" s="58"/>
      <c r="D42" s="53" t="s">
        <v>82</v>
      </c>
      <c r="E42" s="60">
        <v>29</v>
      </c>
      <c r="F42" s="61">
        <v>0</v>
      </c>
      <c r="G42" s="56">
        <f t="shared" si="6"/>
        <v>29</v>
      </c>
      <c r="H42" s="60" t="s">
        <v>81</v>
      </c>
      <c r="I42" s="84">
        <v>0.6</v>
      </c>
      <c r="J42" s="85">
        <f t="shared" si="13"/>
        <v>17.399999999999999</v>
      </c>
      <c r="K42" s="86">
        <f>'LABOR SHEET'!C$6</f>
        <v>92</v>
      </c>
      <c r="L42" s="87">
        <f t="shared" si="14"/>
        <v>55.2</v>
      </c>
      <c r="M42" s="87">
        <f t="shared" si="15"/>
        <v>1600.8</v>
      </c>
      <c r="N42" s="87">
        <v>0</v>
      </c>
      <c r="O42" s="87">
        <f t="shared" si="16"/>
        <v>0</v>
      </c>
      <c r="P42" s="87">
        <f t="shared" si="17"/>
        <v>55.2</v>
      </c>
      <c r="Q42" s="104">
        <f t="shared" si="18"/>
        <v>1600.8</v>
      </c>
      <c r="R42" s="98"/>
    </row>
    <row r="43" spans="1:18">
      <c r="A43" s="57">
        <f>IF(F43&lt;&gt;"",1+MAX($A$2:A42),"")</f>
        <v>31</v>
      </c>
      <c r="B43" s="344"/>
      <c r="C43" s="58"/>
      <c r="D43" s="53" t="s">
        <v>83</v>
      </c>
      <c r="E43" s="60">
        <v>13</v>
      </c>
      <c r="F43" s="61">
        <v>0</v>
      </c>
      <c r="G43" s="56">
        <f t="shared" si="6"/>
        <v>13</v>
      </c>
      <c r="H43" s="60" t="s">
        <v>81</v>
      </c>
      <c r="I43" s="84">
        <v>0.5</v>
      </c>
      <c r="J43" s="85">
        <f t="shared" si="13"/>
        <v>6.5</v>
      </c>
      <c r="K43" s="86">
        <f>'LABOR SHEET'!C$6</f>
        <v>92</v>
      </c>
      <c r="L43" s="87">
        <f t="shared" si="14"/>
        <v>46</v>
      </c>
      <c r="M43" s="87">
        <f t="shared" si="15"/>
        <v>598</v>
      </c>
      <c r="N43" s="87">
        <v>0</v>
      </c>
      <c r="O43" s="87">
        <f t="shared" si="16"/>
        <v>0</v>
      </c>
      <c r="P43" s="87">
        <f t="shared" si="17"/>
        <v>46</v>
      </c>
      <c r="Q43" s="104">
        <f t="shared" si="18"/>
        <v>598</v>
      </c>
      <c r="R43" s="98"/>
    </row>
    <row r="44" spans="1:18">
      <c r="A44" s="57">
        <f>IF(F44&lt;&gt;"",1+MAX($A$2:A43),"")</f>
        <v>32</v>
      </c>
      <c r="B44" s="344"/>
      <c r="C44" s="58"/>
      <c r="D44" s="53" t="s">
        <v>84</v>
      </c>
      <c r="E44" s="60">
        <v>2</v>
      </c>
      <c r="F44" s="61">
        <v>0</v>
      </c>
      <c r="G44" s="56">
        <f t="shared" si="6"/>
        <v>2</v>
      </c>
      <c r="H44" s="60" t="s">
        <v>81</v>
      </c>
      <c r="I44" s="84">
        <v>1</v>
      </c>
      <c r="J44" s="85">
        <f t="shared" si="13"/>
        <v>2</v>
      </c>
      <c r="K44" s="86">
        <f>'LABOR SHEET'!C$6</f>
        <v>92</v>
      </c>
      <c r="L44" s="87">
        <f t="shared" si="14"/>
        <v>92</v>
      </c>
      <c r="M44" s="87">
        <f t="shared" si="15"/>
        <v>184</v>
      </c>
      <c r="N44" s="87">
        <v>0</v>
      </c>
      <c r="O44" s="87">
        <f t="shared" si="16"/>
        <v>0</v>
      </c>
      <c r="P44" s="87">
        <f t="shared" si="17"/>
        <v>92</v>
      </c>
      <c r="Q44" s="104">
        <f t="shared" si="18"/>
        <v>184</v>
      </c>
      <c r="R44" s="98"/>
    </row>
    <row r="45" spans="1:18">
      <c r="A45" s="57">
        <f>IF(F45&lt;&gt;"",1+MAX($A$2:A44),"")</f>
        <v>33</v>
      </c>
      <c r="B45" s="344"/>
      <c r="C45" s="52"/>
      <c r="D45" s="53" t="s">
        <v>85</v>
      </c>
      <c r="E45" s="54">
        <v>9</v>
      </c>
      <c r="F45" s="55">
        <v>0</v>
      </c>
      <c r="G45" s="56">
        <f t="shared" si="6"/>
        <v>9</v>
      </c>
      <c r="H45" s="60" t="s">
        <v>81</v>
      </c>
      <c r="I45" s="84">
        <v>0.65</v>
      </c>
      <c r="J45" s="85">
        <f t="shared" si="13"/>
        <v>5.85</v>
      </c>
      <c r="K45" s="86">
        <f>'LABOR SHEET'!C$6</f>
        <v>92</v>
      </c>
      <c r="L45" s="87">
        <f t="shared" si="14"/>
        <v>59.8</v>
      </c>
      <c r="M45" s="87">
        <f t="shared" si="15"/>
        <v>538.20000000000005</v>
      </c>
      <c r="N45" s="87">
        <v>0</v>
      </c>
      <c r="O45" s="87">
        <f t="shared" si="16"/>
        <v>0</v>
      </c>
      <c r="P45" s="87">
        <f t="shared" si="17"/>
        <v>59.8</v>
      </c>
      <c r="Q45" s="104">
        <f t="shared" si="18"/>
        <v>538.20000000000005</v>
      </c>
      <c r="R45" s="98"/>
    </row>
    <row r="46" spans="1:18">
      <c r="A46" s="57">
        <f>IF(F46&lt;&gt;"",1+MAX($A$2:A45),"")</f>
        <v>34</v>
      </c>
      <c r="B46" s="344"/>
      <c r="C46" s="58"/>
      <c r="D46" s="53" t="s">
        <v>86</v>
      </c>
      <c r="E46" s="60">
        <v>1</v>
      </c>
      <c r="F46" s="61">
        <v>0</v>
      </c>
      <c r="G46" s="56">
        <f t="shared" si="6"/>
        <v>1</v>
      </c>
      <c r="H46" s="60" t="s">
        <v>81</v>
      </c>
      <c r="I46" s="84">
        <v>5.5</v>
      </c>
      <c r="J46" s="85">
        <f t="shared" si="13"/>
        <v>5.5</v>
      </c>
      <c r="K46" s="86">
        <f>'LABOR SHEET'!C$6</f>
        <v>92</v>
      </c>
      <c r="L46" s="87">
        <f t="shared" si="14"/>
        <v>506</v>
      </c>
      <c r="M46" s="87">
        <f t="shared" si="15"/>
        <v>506</v>
      </c>
      <c r="N46" s="87">
        <v>0</v>
      </c>
      <c r="O46" s="87">
        <f t="shared" si="16"/>
        <v>0</v>
      </c>
      <c r="P46" s="87">
        <f t="shared" si="17"/>
        <v>506</v>
      </c>
      <c r="Q46" s="104">
        <f t="shared" si="18"/>
        <v>506</v>
      </c>
      <c r="R46" s="98"/>
    </row>
    <row r="47" spans="1:18">
      <c r="A47" s="57">
        <f>IF(F47&lt;&gt;"",1+MAX($A$2:A46),"")</f>
        <v>35</v>
      </c>
      <c r="B47" s="344"/>
      <c r="C47" s="58"/>
      <c r="D47" s="53" t="s">
        <v>87</v>
      </c>
      <c r="E47" s="60">
        <v>6</v>
      </c>
      <c r="F47" s="61">
        <v>0</v>
      </c>
      <c r="G47" s="56">
        <f t="shared" si="6"/>
        <v>6</v>
      </c>
      <c r="H47" s="60" t="s">
        <v>81</v>
      </c>
      <c r="I47" s="84">
        <v>3.24</v>
      </c>
      <c r="J47" s="85">
        <f t="shared" si="13"/>
        <v>19.440000000000001</v>
      </c>
      <c r="K47" s="86">
        <f>'LABOR SHEET'!C$5</f>
        <v>96.91</v>
      </c>
      <c r="L47" s="87">
        <f t="shared" si="14"/>
        <v>313.98840000000001</v>
      </c>
      <c r="M47" s="87">
        <f t="shared" si="15"/>
        <v>1883.9304</v>
      </c>
      <c r="N47" s="87">
        <v>0</v>
      </c>
      <c r="O47" s="87">
        <f t="shared" si="16"/>
        <v>0</v>
      </c>
      <c r="P47" s="87">
        <f t="shared" si="17"/>
        <v>313.98840000000001</v>
      </c>
      <c r="Q47" s="104">
        <f t="shared" si="18"/>
        <v>1883.9304</v>
      </c>
      <c r="R47" s="98"/>
    </row>
    <row r="48" spans="1:18">
      <c r="A48" s="57">
        <f>IF(F48&lt;&gt;"",1+MAX($A$2:A47),"")</f>
        <v>36</v>
      </c>
      <c r="B48" s="344"/>
      <c r="C48" s="58"/>
      <c r="D48" s="53" t="s">
        <v>88</v>
      </c>
      <c r="E48" s="60">
        <v>2</v>
      </c>
      <c r="F48" s="61">
        <v>0</v>
      </c>
      <c r="G48" s="56">
        <f t="shared" si="6"/>
        <v>2</v>
      </c>
      <c r="H48" s="60" t="s">
        <v>81</v>
      </c>
      <c r="I48" s="84">
        <v>1.42</v>
      </c>
      <c r="J48" s="85">
        <f t="shared" si="13"/>
        <v>2.84</v>
      </c>
      <c r="K48" s="86">
        <f>'LABOR SHEET'!C$5</f>
        <v>96.91</v>
      </c>
      <c r="L48" s="87">
        <f t="shared" si="14"/>
        <v>137.6122</v>
      </c>
      <c r="M48" s="87">
        <f t="shared" si="15"/>
        <v>275.2244</v>
      </c>
      <c r="N48" s="87">
        <v>0</v>
      </c>
      <c r="O48" s="87">
        <f t="shared" si="16"/>
        <v>0</v>
      </c>
      <c r="P48" s="87">
        <f t="shared" si="17"/>
        <v>137.6122</v>
      </c>
      <c r="Q48" s="104">
        <f t="shared" si="18"/>
        <v>275.2244</v>
      </c>
      <c r="R48" s="98"/>
    </row>
    <row r="49" spans="1:18">
      <c r="A49" s="57">
        <f>IF(F49&lt;&gt;"",1+MAX($A$2:A48),"")</f>
        <v>37</v>
      </c>
      <c r="B49" s="344"/>
      <c r="C49" s="58"/>
      <c r="D49" s="53" t="s">
        <v>89</v>
      </c>
      <c r="E49" s="60">
        <v>10</v>
      </c>
      <c r="F49" s="61">
        <v>0</v>
      </c>
      <c r="G49" s="56">
        <f t="shared" si="6"/>
        <v>10</v>
      </c>
      <c r="H49" s="60" t="s">
        <v>81</v>
      </c>
      <c r="I49" s="84">
        <v>1.66</v>
      </c>
      <c r="J49" s="85">
        <f t="shared" si="13"/>
        <v>16.600000000000001</v>
      </c>
      <c r="K49" s="86">
        <f>'LABOR SHEET'!C$5</f>
        <v>96.91</v>
      </c>
      <c r="L49" s="87">
        <f t="shared" si="14"/>
        <v>160.8706</v>
      </c>
      <c r="M49" s="87">
        <f t="shared" si="15"/>
        <v>1608.7059999999999</v>
      </c>
      <c r="N49" s="87">
        <v>0</v>
      </c>
      <c r="O49" s="87">
        <f t="shared" si="16"/>
        <v>0</v>
      </c>
      <c r="P49" s="87">
        <f t="shared" si="17"/>
        <v>160.8706</v>
      </c>
      <c r="Q49" s="104">
        <f t="shared" si="18"/>
        <v>1608.7059999999999</v>
      </c>
      <c r="R49" s="98"/>
    </row>
    <row r="50" spans="1:18">
      <c r="A50" s="57">
        <f>IF(F50&lt;&gt;"",1+MAX($A$2:A49),"")</f>
        <v>38</v>
      </c>
      <c r="B50" s="344"/>
      <c r="C50" s="52"/>
      <c r="D50" s="53" t="s">
        <v>90</v>
      </c>
      <c r="E50" s="54">
        <v>1</v>
      </c>
      <c r="F50" s="55">
        <v>0</v>
      </c>
      <c r="G50" s="56">
        <f t="shared" si="6"/>
        <v>1</v>
      </c>
      <c r="H50" s="60" t="s">
        <v>81</v>
      </c>
      <c r="I50" s="84">
        <v>2.85</v>
      </c>
      <c r="J50" s="85">
        <f t="shared" si="13"/>
        <v>2.85</v>
      </c>
      <c r="K50" s="86">
        <f>'LABOR SHEET'!C$4</f>
        <v>96.91</v>
      </c>
      <c r="L50" s="87">
        <f t="shared" si="14"/>
        <v>276.19349999999997</v>
      </c>
      <c r="M50" s="87">
        <f t="shared" si="15"/>
        <v>276.19349999999997</v>
      </c>
      <c r="N50" s="87">
        <v>0</v>
      </c>
      <c r="O50" s="87">
        <f t="shared" si="16"/>
        <v>0</v>
      </c>
      <c r="P50" s="87">
        <f t="shared" si="17"/>
        <v>276.19349999999997</v>
      </c>
      <c r="Q50" s="104">
        <f t="shared" si="18"/>
        <v>276.19349999999997</v>
      </c>
      <c r="R50" s="98"/>
    </row>
    <row r="51" spans="1:18">
      <c r="A51" s="57">
        <f>IF(F51&lt;&gt;"",1+MAX($A$2:A50),"")</f>
        <v>39</v>
      </c>
      <c r="B51" s="344"/>
      <c r="C51" s="58"/>
      <c r="D51" s="53" t="s">
        <v>91</v>
      </c>
      <c r="E51" s="60">
        <v>8</v>
      </c>
      <c r="F51" s="61">
        <v>0</v>
      </c>
      <c r="G51" s="56">
        <f t="shared" si="6"/>
        <v>8</v>
      </c>
      <c r="H51" s="60" t="s">
        <v>81</v>
      </c>
      <c r="I51" s="84">
        <v>3.5</v>
      </c>
      <c r="J51" s="85">
        <f t="shared" si="13"/>
        <v>28</v>
      </c>
      <c r="K51" s="86">
        <f>'LABOR SHEET'!C$4</f>
        <v>96.91</v>
      </c>
      <c r="L51" s="87">
        <f t="shared" si="14"/>
        <v>339.185</v>
      </c>
      <c r="M51" s="87">
        <f t="shared" si="15"/>
        <v>2713.48</v>
      </c>
      <c r="N51" s="87">
        <v>0</v>
      </c>
      <c r="O51" s="87">
        <f t="shared" si="16"/>
        <v>0</v>
      </c>
      <c r="P51" s="87">
        <f t="shared" si="17"/>
        <v>339.185</v>
      </c>
      <c r="Q51" s="104">
        <f t="shared" si="18"/>
        <v>2713.48</v>
      </c>
      <c r="R51" s="98"/>
    </row>
    <row r="52" spans="1:18">
      <c r="A52" s="57">
        <f>IF(F52&lt;&gt;"",1+MAX($A$2:A51),"")</f>
        <v>40</v>
      </c>
      <c r="B52" s="344"/>
      <c r="C52" s="58"/>
      <c r="D52" s="53" t="s">
        <v>92</v>
      </c>
      <c r="E52" s="60">
        <v>4</v>
      </c>
      <c r="F52" s="61">
        <v>0</v>
      </c>
      <c r="G52" s="56">
        <f t="shared" si="6"/>
        <v>4</v>
      </c>
      <c r="H52" s="60" t="s">
        <v>81</v>
      </c>
      <c r="I52" s="84">
        <v>5.86</v>
      </c>
      <c r="J52" s="85">
        <f t="shared" si="13"/>
        <v>23.44</v>
      </c>
      <c r="K52" s="86">
        <f>'LABOR SHEET'!C$4</f>
        <v>96.91</v>
      </c>
      <c r="L52" s="87">
        <f t="shared" si="14"/>
        <v>567.89260000000002</v>
      </c>
      <c r="M52" s="87">
        <f t="shared" si="15"/>
        <v>2271.5704000000001</v>
      </c>
      <c r="N52" s="87">
        <v>0</v>
      </c>
      <c r="O52" s="87">
        <f t="shared" si="16"/>
        <v>0</v>
      </c>
      <c r="P52" s="87">
        <f t="shared" si="17"/>
        <v>567.89260000000002</v>
      </c>
      <c r="Q52" s="104">
        <f t="shared" si="18"/>
        <v>2271.5704000000001</v>
      </c>
      <c r="R52" s="98"/>
    </row>
    <row r="53" spans="1:18">
      <c r="A53" s="57">
        <f>IF(F53&lt;&gt;"",1+MAX($A$2:A52),"")</f>
        <v>41</v>
      </c>
      <c r="B53" s="344"/>
      <c r="C53" s="58"/>
      <c r="D53" s="53" t="s">
        <v>93</v>
      </c>
      <c r="E53" s="60">
        <v>2</v>
      </c>
      <c r="F53" s="61">
        <v>0</v>
      </c>
      <c r="G53" s="56">
        <f t="shared" si="6"/>
        <v>2</v>
      </c>
      <c r="H53" s="60" t="s">
        <v>81</v>
      </c>
      <c r="I53" s="84">
        <v>4.5</v>
      </c>
      <c r="J53" s="85">
        <f t="shared" si="13"/>
        <v>9</v>
      </c>
      <c r="K53" s="86">
        <f>'LABOR SHEET'!C$4</f>
        <v>96.91</v>
      </c>
      <c r="L53" s="87">
        <f t="shared" si="14"/>
        <v>436.09500000000003</v>
      </c>
      <c r="M53" s="87">
        <f t="shared" si="15"/>
        <v>872.19</v>
      </c>
      <c r="N53" s="87">
        <v>0</v>
      </c>
      <c r="O53" s="87">
        <f t="shared" si="16"/>
        <v>0</v>
      </c>
      <c r="P53" s="87">
        <f t="shared" si="17"/>
        <v>436.09500000000003</v>
      </c>
      <c r="Q53" s="104">
        <f t="shared" si="18"/>
        <v>872.19</v>
      </c>
      <c r="R53" s="98"/>
    </row>
    <row r="54" spans="1:18">
      <c r="A54" s="57">
        <f>IF(F54&lt;&gt;"",1+MAX($A$2:A53),"")</f>
        <v>42</v>
      </c>
      <c r="B54" s="344"/>
      <c r="C54" s="58"/>
      <c r="D54" s="53" t="s">
        <v>94</v>
      </c>
      <c r="E54" s="60">
        <v>2</v>
      </c>
      <c r="F54" s="61">
        <v>0</v>
      </c>
      <c r="G54" s="56">
        <f t="shared" si="6"/>
        <v>2</v>
      </c>
      <c r="H54" s="60" t="s">
        <v>81</v>
      </c>
      <c r="I54" s="84">
        <v>5.0999999999999996</v>
      </c>
      <c r="J54" s="85">
        <f t="shared" si="13"/>
        <v>10.199999999999999</v>
      </c>
      <c r="K54" s="86">
        <f>'LABOR SHEET'!C$4</f>
        <v>96.91</v>
      </c>
      <c r="L54" s="87">
        <f t="shared" si="14"/>
        <v>494.24099999999999</v>
      </c>
      <c r="M54" s="87">
        <f t="shared" si="15"/>
        <v>988.48199999999997</v>
      </c>
      <c r="N54" s="87">
        <v>0</v>
      </c>
      <c r="O54" s="87">
        <f t="shared" si="16"/>
        <v>0</v>
      </c>
      <c r="P54" s="87">
        <f t="shared" si="17"/>
        <v>494.24099999999999</v>
      </c>
      <c r="Q54" s="104">
        <f t="shared" si="18"/>
        <v>988.48199999999997</v>
      </c>
      <c r="R54" s="98"/>
    </row>
    <row r="55" spans="1:18">
      <c r="A55" s="57">
        <f>IF(F55&lt;&gt;"",1+MAX($A$2:A54),"")</f>
        <v>43</v>
      </c>
      <c r="B55" s="344"/>
      <c r="C55" s="52"/>
      <c r="D55" s="53" t="s">
        <v>95</v>
      </c>
      <c r="E55" s="54">
        <v>2</v>
      </c>
      <c r="F55" s="55">
        <v>0</v>
      </c>
      <c r="G55" s="56">
        <f t="shared" si="6"/>
        <v>2</v>
      </c>
      <c r="H55" s="60" t="s">
        <v>81</v>
      </c>
      <c r="I55" s="84">
        <v>2.88</v>
      </c>
      <c r="J55" s="85">
        <f t="shared" si="13"/>
        <v>5.76</v>
      </c>
      <c r="K55" s="86">
        <f>'LABOR SHEET'!C$4</f>
        <v>96.91</v>
      </c>
      <c r="L55" s="87">
        <f t="shared" si="14"/>
        <v>279.10079999999999</v>
      </c>
      <c r="M55" s="87">
        <f t="shared" si="15"/>
        <v>558.20159999999998</v>
      </c>
      <c r="N55" s="87">
        <v>0</v>
      </c>
      <c r="O55" s="87">
        <f t="shared" si="16"/>
        <v>0</v>
      </c>
      <c r="P55" s="87">
        <f t="shared" si="17"/>
        <v>279.10079999999999</v>
      </c>
      <c r="Q55" s="104">
        <f t="shared" si="18"/>
        <v>558.20159999999998</v>
      </c>
      <c r="R55" s="98"/>
    </row>
    <row r="56" spans="1:18">
      <c r="A56" s="57">
        <f>IF(F56&lt;&gt;"",1+MAX($A$2:A55),"")</f>
        <v>44</v>
      </c>
      <c r="B56" s="344"/>
      <c r="C56" s="58"/>
      <c r="D56" s="53" t="s">
        <v>96</v>
      </c>
      <c r="E56" s="60">
        <v>31</v>
      </c>
      <c r="F56" s="61">
        <v>0</v>
      </c>
      <c r="G56" s="56">
        <f t="shared" si="6"/>
        <v>31</v>
      </c>
      <c r="H56" s="60" t="s">
        <v>81</v>
      </c>
      <c r="I56" s="84">
        <v>2.1</v>
      </c>
      <c r="J56" s="85">
        <f t="shared" si="13"/>
        <v>65.099999999999994</v>
      </c>
      <c r="K56" s="86">
        <f>'LABOR SHEET'!C$3</f>
        <v>83.49</v>
      </c>
      <c r="L56" s="87">
        <f t="shared" si="14"/>
        <v>175.32900000000001</v>
      </c>
      <c r="M56" s="87">
        <f t="shared" si="15"/>
        <v>5435.1989999999996</v>
      </c>
      <c r="N56" s="87">
        <v>0</v>
      </c>
      <c r="O56" s="87">
        <f t="shared" si="16"/>
        <v>0</v>
      </c>
      <c r="P56" s="87">
        <f t="shared" si="17"/>
        <v>175.32900000000001</v>
      </c>
      <c r="Q56" s="104">
        <f t="shared" si="18"/>
        <v>5435.1989999999996</v>
      </c>
      <c r="R56" s="98"/>
    </row>
    <row r="57" spans="1:18">
      <c r="A57" s="57">
        <f>IF(F57&lt;&gt;"",1+MAX($A$2:A56),"")</f>
        <v>45</v>
      </c>
      <c r="B57" s="344"/>
      <c r="C57" s="58"/>
      <c r="D57" s="53" t="s">
        <v>97</v>
      </c>
      <c r="E57" s="60">
        <v>7</v>
      </c>
      <c r="F57" s="61">
        <v>0</v>
      </c>
      <c r="G57" s="56">
        <f t="shared" si="6"/>
        <v>7</v>
      </c>
      <c r="H57" s="60" t="s">
        <v>81</v>
      </c>
      <c r="I57" s="84">
        <v>4.2</v>
      </c>
      <c r="J57" s="85">
        <f t="shared" si="13"/>
        <v>29.4</v>
      </c>
      <c r="K57" s="86">
        <f>'LABOR SHEET'!C$3</f>
        <v>83.49</v>
      </c>
      <c r="L57" s="87">
        <f t="shared" si="14"/>
        <v>350.65800000000002</v>
      </c>
      <c r="M57" s="87">
        <f t="shared" si="15"/>
        <v>2454.6060000000002</v>
      </c>
      <c r="N57" s="87">
        <v>0</v>
      </c>
      <c r="O57" s="87">
        <f t="shared" si="16"/>
        <v>0</v>
      </c>
      <c r="P57" s="87">
        <f t="shared" si="17"/>
        <v>350.65800000000002</v>
      </c>
      <c r="Q57" s="104">
        <f t="shared" si="18"/>
        <v>2454.6060000000002</v>
      </c>
      <c r="R57" s="98"/>
    </row>
    <row r="58" spans="1:18">
      <c r="A58" s="57">
        <f>IF(F58&lt;&gt;"",1+MAX($A$2:A57),"")</f>
        <v>46</v>
      </c>
      <c r="B58" s="344"/>
      <c r="C58" s="58"/>
      <c r="D58" s="53" t="s">
        <v>98</v>
      </c>
      <c r="E58" s="60">
        <v>62</v>
      </c>
      <c r="F58" s="61">
        <v>0</v>
      </c>
      <c r="G58" s="56">
        <f t="shared" si="6"/>
        <v>62</v>
      </c>
      <c r="H58" s="60" t="s">
        <v>81</v>
      </c>
      <c r="I58" s="84">
        <v>2.2000000000000002</v>
      </c>
      <c r="J58" s="85">
        <f t="shared" si="13"/>
        <v>136.4</v>
      </c>
      <c r="K58" s="86">
        <f>'LABOR SHEET'!C$3</f>
        <v>83.49</v>
      </c>
      <c r="L58" s="87">
        <f t="shared" si="14"/>
        <v>183.678</v>
      </c>
      <c r="M58" s="87">
        <f t="shared" si="15"/>
        <v>11388.036</v>
      </c>
      <c r="N58" s="87">
        <v>0</v>
      </c>
      <c r="O58" s="87">
        <f t="shared" si="16"/>
        <v>0</v>
      </c>
      <c r="P58" s="87">
        <f t="shared" si="17"/>
        <v>183.678</v>
      </c>
      <c r="Q58" s="104">
        <f t="shared" si="18"/>
        <v>11388.036</v>
      </c>
      <c r="R58" s="98"/>
    </row>
    <row r="59" spans="1:18">
      <c r="A59" s="57">
        <f>IF(F59&lt;&gt;"",1+MAX($A$2:A58),"")</f>
        <v>47</v>
      </c>
      <c r="B59" s="344"/>
      <c r="C59" s="58"/>
      <c r="D59" s="53" t="s">
        <v>99</v>
      </c>
      <c r="E59" s="60">
        <v>8</v>
      </c>
      <c r="F59" s="61">
        <v>0</v>
      </c>
      <c r="G59" s="56">
        <f t="shared" si="6"/>
        <v>8</v>
      </c>
      <c r="H59" s="60" t="s">
        <v>81</v>
      </c>
      <c r="I59" s="84">
        <v>0.4</v>
      </c>
      <c r="J59" s="85">
        <f t="shared" si="13"/>
        <v>3.2</v>
      </c>
      <c r="K59" s="86">
        <f>'LABOR SHEET'!C$4</f>
        <v>96.91</v>
      </c>
      <c r="L59" s="87">
        <f t="shared" si="14"/>
        <v>38.764000000000003</v>
      </c>
      <c r="M59" s="87">
        <f t="shared" si="15"/>
        <v>310.11200000000002</v>
      </c>
      <c r="N59" s="87">
        <v>0</v>
      </c>
      <c r="O59" s="87">
        <f t="shared" si="16"/>
        <v>0</v>
      </c>
      <c r="P59" s="87">
        <f t="shared" si="17"/>
        <v>38.764000000000003</v>
      </c>
      <c r="Q59" s="104">
        <f t="shared" si="18"/>
        <v>310.11200000000002</v>
      </c>
      <c r="R59" s="98"/>
    </row>
    <row r="60" spans="1:18">
      <c r="A60" s="57">
        <f>IF(F60&lt;&gt;"",1+MAX($A$2:A59),"")</f>
        <v>48</v>
      </c>
      <c r="B60" s="344"/>
      <c r="C60" s="52"/>
      <c r="D60" s="53" t="s">
        <v>100</v>
      </c>
      <c r="E60" s="54">
        <v>33</v>
      </c>
      <c r="F60" s="55">
        <v>0</v>
      </c>
      <c r="G60" s="56">
        <f t="shared" si="6"/>
        <v>33</v>
      </c>
      <c r="H60" s="60" t="s">
        <v>81</v>
      </c>
      <c r="I60" s="84">
        <v>1.68</v>
      </c>
      <c r="J60" s="85">
        <f t="shared" ref="J60:J68" si="19">+I60*G60</f>
        <v>55.44</v>
      </c>
      <c r="K60" s="86">
        <f>'LABOR SHEET'!C$4</f>
        <v>96.91</v>
      </c>
      <c r="L60" s="87">
        <f t="shared" ref="L60:L68" si="20">I60*K60</f>
        <v>162.80879999999999</v>
      </c>
      <c r="M60" s="87">
        <f t="shared" ref="M60:M68" si="21">K60*J60</f>
        <v>5372.6904000000004</v>
      </c>
      <c r="N60" s="87">
        <v>0</v>
      </c>
      <c r="O60" s="87">
        <f t="shared" ref="O60:O68" si="22">N60*G60</f>
        <v>0</v>
      </c>
      <c r="P60" s="87">
        <f t="shared" ref="P60:P68" si="23">(I60*K60)+N60</f>
        <v>162.80879999999999</v>
      </c>
      <c r="Q60" s="104">
        <f t="shared" ref="Q60:Q68" si="24">P60*G60</f>
        <v>5372.6904000000004</v>
      </c>
      <c r="R60" s="98"/>
    </row>
    <row r="61" spans="1:18">
      <c r="A61" s="57">
        <f>IF(F61&lt;&gt;"",1+MAX($A$2:A60),"")</f>
        <v>49</v>
      </c>
      <c r="B61" s="344"/>
      <c r="C61" s="58"/>
      <c r="D61" s="53" t="s">
        <v>101</v>
      </c>
      <c r="E61" s="60">
        <v>3</v>
      </c>
      <c r="F61" s="61">
        <v>0</v>
      </c>
      <c r="G61" s="56">
        <f t="shared" si="6"/>
        <v>3</v>
      </c>
      <c r="H61" s="60" t="s">
        <v>81</v>
      </c>
      <c r="I61" s="84">
        <v>0.8</v>
      </c>
      <c r="J61" s="85">
        <f t="shared" si="19"/>
        <v>2.4</v>
      </c>
      <c r="K61" s="86">
        <f>'LABOR SHEET'!C$6</f>
        <v>92</v>
      </c>
      <c r="L61" s="87">
        <f t="shared" si="20"/>
        <v>73.599999999999994</v>
      </c>
      <c r="M61" s="87">
        <f t="shared" si="21"/>
        <v>220.8</v>
      </c>
      <c r="N61" s="87">
        <v>0</v>
      </c>
      <c r="O61" s="87">
        <f t="shared" si="22"/>
        <v>0</v>
      </c>
      <c r="P61" s="87">
        <f t="shared" si="23"/>
        <v>73.599999999999994</v>
      </c>
      <c r="Q61" s="104">
        <f t="shared" si="24"/>
        <v>220.8</v>
      </c>
      <c r="R61" s="98"/>
    </row>
    <row r="62" spans="1:18">
      <c r="A62" s="57">
        <f>IF(F62&lt;&gt;"",1+MAX($A$2:A61),"")</f>
        <v>50</v>
      </c>
      <c r="B62" s="344"/>
      <c r="C62" s="58"/>
      <c r="D62" s="53" t="s">
        <v>102</v>
      </c>
      <c r="E62" s="60">
        <v>2</v>
      </c>
      <c r="F62" s="61">
        <v>0</v>
      </c>
      <c r="G62" s="56">
        <f t="shared" si="6"/>
        <v>2</v>
      </c>
      <c r="H62" s="60" t="s">
        <v>81</v>
      </c>
      <c r="I62" s="84">
        <v>0.7</v>
      </c>
      <c r="J62" s="85">
        <f t="shared" si="19"/>
        <v>1.4</v>
      </c>
      <c r="K62" s="86">
        <f>'LABOR SHEET'!C$6</f>
        <v>92</v>
      </c>
      <c r="L62" s="87">
        <f t="shared" si="20"/>
        <v>64.400000000000006</v>
      </c>
      <c r="M62" s="87">
        <f t="shared" si="21"/>
        <v>128.80000000000001</v>
      </c>
      <c r="N62" s="87">
        <v>0</v>
      </c>
      <c r="O62" s="87">
        <f t="shared" si="22"/>
        <v>0</v>
      </c>
      <c r="P62" s="87">
        <f t="shared" si="23"/>
        <v>64.400000000000006</v>
      </c>
      <c r="Q62" s="104">
        <f t="shared" si="24"/>
        <v>128.80000000000001</v>
      </c>
      <c r="R62" s="98"/>
    </row>
    <row r="63" spans="1:18">
      <c r="A63" s="57">
        <f>IF(F63&lt;&gt;"",1+MAX($A$2:A62),"")</f>
        <v>51</v>
      </c>
      <c r="B63" s="344"/>
      <c r="C63" s="58"/>
      <c r="D63" s="53" t="s">
        <v>103</v>
      </c>
      <c r="E63" s="60">
        <v>1</v>
      </c>
      <c r="F63" s="61">
        <v>0</v>
      </c>
      <c r="G63" s="56">
        <f t="shared" si="6"/>
        <v>1</v>
      </c>
      <c r="H63" s="60" t="s">
        <v>81</v>
      </c>
      <c r="I63" s="84">
        <v>1.6</v>
      </c>
      <c r="J63" s="85">
        <f t="shared" si="19"/>
        <v>1.6</v>
      </c>
      <c r="K63" s="86">
        <f>'LABOR SHEET'!C$6</f>
        <v>92</v>
      </c>
      <c r="L63" s="87">
        <f t="shared" si="20"/>
        <v>147.19999999999999</v>
      </c>
      <c r="M63" s="87">
        <f t="shared" si="21"/>
        <v>147.19999999999999</v>
      </c>
      <c r="N63" s="87">
        <v>0</v>
      </c>
      <c r="O63" s="87">
        <f t="shared" si="22"/>
        <v>0</v>
      </c>
      <c r="P63" s="87">
        <f t="shared" si="23"/>
        <v>147.19999999999999</v>
      </c>
      <c r="Q63" s="104">
        <f t="shared" si="24"/>
        <v>147.19999999999999</v>
      </c>
      <c r="R63" s="98"/>
    </row>
    <row r="64" spans="1:18">
      <c r="A64" s="57">
        <f>IF(F64&lt;&gt;"",1+MAX($A$2:A63),"")</f>
        <v>52</v>
      </c>
      <c r="B64" s="344"/>
      <c r="C64" s="58"/>
      <c r="D64" s="53" t="s">
        <v>104</v>
      </c>
      <c r="E64" s="60">
        <v>3</v>
      </c>
      <c r="F64" s="61">
        <v>0</v>
      </c>
      <c r="G64" s="56">
        <f t="shared" si="6"/>
        <v>3</v>
      </c>
      <c r="H64" s="60" t="s">
        <v>81</v>
      </c>
      <c r="I64" s="84">
        <v>1</v>
      </c>
      <c r="J64" s="85">
        <f t="shared" si="19"/>
        <v>3</v>
      </c>
      <c r="K64" s="86">
        <f>'LABOR SHEET'!C$6</f>
        <v>92</v>
      </c>
      <c r="L64" s="87">
        <f t="shared" si="20"/>
        <v>92</v>
      </c>
      <c r="M64" s="87">
        <f t="shared" si="21"/>
        <v>276</v>
      </c>
      <c r="N64" s="87">
        <v>0</v>
      </c>
      <c r="O64" s="87">
        <f t="shared" si="22"/>
        <v>0</v>
      </c>
      <c r="P64" s="87">
        <f t="shared" si="23"/>
        <v>92</v>
      </c>
      <c r="Q64" s="104">
        <f t="shared" si="24"/>
        <v>276</v>
      </c>
      <c r="R64" s="98"/>
    </row>
    <row r="65" spans="1:18">
      <c r="A65" s="57">
        <f>IF(F65&lt;&gt;"",1+MAX($A$2:A64),"")</f>
        <v>53</v>
      </c>
      <c r="B65" s="344"/>
      <c r="C65" s="52"/>
      <c r="D65" s="53" t="s">
        <v>105</v>
      </c>
      <c r="E65" s="54">
        <v>2</v>
      </c>
      <c r="F65" s="55">
        <v>0</v>
      </c>
      <c r="G65" s="56">
        <f t="shared" si="6"/>
        <v>2</v>
      </c>
      <c r="H65" s="60" t="s">
        <v>81</v>
      </c>
      <c r="I65" s="84">
        <v>0.88</v>
      </c>
      <c r="J65" s="85">
        <f t="shared" si="19"/>
        <v>1.76</v>
      </c>
      <c r="K65" s="86">
        <f>'LABOR SHEET'!C$5</f>
        <v>96.91</v>
      </c>
      <c r="L65" s="87">
        <f t="shared" si="20"/>
        <v>85.280799999999999</v>
      </c>
      <c r="M65" s="87">
        <f t="shared" si="21"/>
        <v>170.5616</v>
      </c>
      <c r="N65" s="87">
        <v>0</v>
      </c>
      <c r="O65" s="87">
        <f t="shared" si="22"/>
        <v>0</v>
      </c>
      <c r="P65" s="87">
        <f t="shared" si="23"/>
        <v>85.280799999999999</v>
      </c>
      <c r="Q65" s="104">
        <f t="shared" si="24"/>
        <v>170.5616</v>
      </c>
      <c r="R65" s="98"/>
    </row>
    <row r="66" spans="1:18">
      <c r="A66" s="57">
        <f>IF(F66&lt;&gt;"",1+MAX($A$2:A65),"")</f>
        <v>54</v>
      </c>
      <c r="B66" s="344"/>
      <c r="C66" s="58"/>
      <c r="D66" s="53" t="s">
        <v>106</v>
      </c>
      <c r="E66" s="60">
        <v>56</v>
      </c>
      <c r="F66" s="61">
        <v>0</v>
      </c>
      <c r="G66" s="56">
        <f t="shared" si="6"/>
        <v>56</v>
      </c>
      <c r="H66" s="60" t="s">
        <v>81</v>
      </c>
      <c r="I66" s="84">
        <v>1.05</v>
      </c>
      <c r="J66" s="85">
        <f t="shared" si="19"/>
        <v>58.8</v>
      </c>
      <c r="K66" s="86">
        <f>'LABOR SHEET'!C$6</f>
        <v>92</v>
      </c>
      <c r="L66" s="87">
        <f t="shared" si="20"/>
        <v>96.6</v>
      </c>
      <c r="M66" s="87">
        <f t="shared" si="21"/>
        <v>5409.6</v>
      </c>
      <c r="N66" s="87">
        <v>0</v>
      </c>
      <c r="O66" s="87">
        <f t="shared" si="22"/>
        <v>0</v>
      </c>
      <c r="P66" s="87">
        <f t="shared" si="23"/>
        <v>96.6</v>
      </c>
      <c r="Q66" s="104">
        <f t="shared" si="24"/>
        <v>5409.6</v>
      </c>
      <c r="R66" s="98"/>
    </row>
    <row r="67" spans="1:18">
      <c r="A67" s="57">
        <f>IF(F67&lt;&gt;"",1+MAX($A$2:A66),"")</f>
        <v>55</v>
      </c>
      <c r="B67" s="344"/>
      <c r="C67" s="58"/>
      <c r="D67" s="53" t="s">
        <v>107</v>
      </c>
      <c r="E67" s="60">
        <v>7</v>
      </c>
      <c r="F67" s="61">
        <v>0</v>
      </c>
      <c r="G67" s="56">
        <f t="shared" si="6"/>
        <v>7</v>
      </c>
      <c r="H67" s="60" t="s">
        <v>81</v>
      </c>
      <c r="I67" s="84">
        <v>1</v>
      </c>
      <c r="J67" s="85">
        <f t="shared" si="19"/>
        <v>7</v>
      </c>
      <c r="K67" s="86">
        <f>'LABOR SHEET'!C$6</f>
        <v>92</v>
      </c>
      <c r="L67" s="87">
        <f t="shared" si="20"/>
        <v>92</v>
      </c>
      <c r="M67" s="87">
        <f t="shared" si="21"/>
        <v>644</v>
      </c>
      <c r="N67" s="87">
        <v>0</v>
      </c>
      <c r="O67" s="87">
        <f t="shared" si="22"/>
        <v>0</v>
      </c>
      <c r="P67" s="87">
        <f t="shared" si="23"/>
        <v>92</v>
      </c>
      <c r="Q67" s="104">
        <f t="shared" si="24"/>
        <v>644</v>
      </c>
      <c r="R67" s="98"/>
    </row>
    <row r="68" spans="1:18">
      <c r="A68" s="57">
        <f>IF(F68&lt;&gt;"",1+MAX($A$2:A67),"")</f>
        <v>56</v>
      </c>
      <c r="B68" s="344"/>
      <c r="C68" s="58"/>
      <c r="D68" s="53" t="s">
        <v>108</v>
      </c>
      <c r="E68" s="60">
        <v>2</v>
      </c>
      <c r="F68" s="61">
        <v>0</v>
      </c>
      <c r="G68" s="56">
        <f t="shared" si="6"/>
        <v>2</v>
      </c>
      <c r="H68" s="60" t="s">
        <v>81</v>
      </c>
      <c r="I68" s="84">
        <v>0.6</v>
      </c>
      <c r="J68" s="85">
        <f t="shared" si="19"/>
        <v>1.2</v>
      </c>
      <c r="K68" s="86">
        <f>'LABOR SHEET'!C$6</f>
        <v>92</v>
      </c>
      <c r="L68" s="87">
        <f t="shared" si="20"/>
        <v>55.2</v>
      </c>
      <c r="M68" s="87">
        <f t="shared" si="21"/>
        <v>110.4</v>
      </c>
      <c r="N68" s="87">
        <v>0</v>
      </c>
      <c r="O68" s="87">
        <f t="shared" si="22"/>
        <v>0</v>
      </c>
      <c r="P68" s="87">
        <f t="shared" si="23"/>
        <v>55.2</v>
      </c>
      <c r="Q68" s="104">
        <f t="shared" si="24"/>
        <v>110.4</v>
      </c>
      <c r="R68" s="98"/>
    </row>
    <row r="69" spans="1:18">
      <c r="A69" s="57">
        <f>IF(F69&lt;&gt;"",1+MAX($A$2:A68),"")</f>
        <v>57</v>
      </c>
      <c r="B69" s="344"/>
      <c r="C69" s="52"/>
      <c r="D69" s="53" t="s">
        <v>109</v>
      </c>
      <c r="E69" s="54">
        <v>1</v>
      </c>
      <c r="F69" s="55">
        <v>0</v>
      </c>
      <c r="G69" s="56">
        <f t="shared" si="6"/>
        <v>1</v>
      </c>
      <c r="H69" s="60" t="s">
        <v>81</v>
      </c>
      <c r="I69" s="84">
        <v>0.76</v>
      </c>
      <c r="J69" s="85">
        <f t="shared" ref="J69:J74" si="25">+I69*G69</f>
        <v>0.76</v>
      </c>
      <c r="K69" s="86">
        <f>'LABOR SHEET'!C$6</f>
        <v>92</v>
      </c>
      <c r="L69" s="87">
        <f t="shared" ref="L69:L74" si="26">I69*K69</f>
        <v>69.92</v>
      </c>
      <c r="M69" s="87">
        <f t="shared" ref="M69:M74" si="27">K69*J69</f>
        <v>69.92</v>
      </c>
      <c r="N69" s="87">
        <v>0</v>
      </c>
      <c r="O69" s="87">
        <f t="shared" ref="O69:O74" si="28">N69*G69</f>
        <v>0</v>
      </c>
      <c r="P69" s="87">
        <f t="shared" ref="P69:P74" si="29">(I69*K69)+N69</f>
        <v>69.92</v>
      </c>
      <c r="Q69" s="104">
        <f t="shared" ref="Q69:Q74" si="30">P69*G69</f>
        <v>69.92</v>
      </c>
      <c r="R69" s="98"/>
    </row>
    <row r="70" spans="1:18">
      <c r="A70" s="57">
        <f>IF(F70&lt;&gt;"",1+MAX($A$2:A69),"")</f>
        <v>58</v>
      </c>
      <c r="B70" s="344"/>
      <c r="C70" s="58"/>
      <c r="D70" s="53" t="s">
        <v>110</v>
      </c>
      <c r="E70" s="60">
        <v>17</v>
      </c>
      <c r="F70" s="61">
        <v>0</v>
      </c>
      <c r="G70" s="56">
        <f t="shared" si="6"/>
        <v>17</v>
      </c>
      <c r="H70" s="60" t="s">
        <v>81</v>
      </c>
      <c r="I70" s="84">
        <v>0.78</v>
      </c>
      <c r="J70" s="85">
        <f t="shared" si="25"/>
        <v>13.26</v>
      </c>
      <c r="K70" s="86">
        <f>'LABOR SHEET'!C$6</f>
        <v>92</v>
      </c>
      <c r="L70" s="87">
        <f t="shared" si="26"/>
        <v>71.760000000000005</v>
      </c>
      <c r="M70" s="87">
        <f t="shared" si="27"/>
        <v>1219.92</v>
      </c>
      <c r="N70" s="87">
        <v>0</v>
      </c>
      <c r="O70" s="87">
        <f t="shared" si="28"/>
        <v>0</v>
      </c>
      <c r="P70" s="87">
        <f t="shared" si="29"/>
        <v>71.760000000000005</v>
      </c>
      <c r="Q70" s="104">
        <f t="shared" si="30"/>
        <v>1219.92</v>
      </c>
      <c r="R70" s="98"/>
    </row>
    <row r="71" spans="1:18">
      <c r="A71" s="57">
        <f>IF(F71&lt;&gt;"",1+MAX($A$2:A70),"")</f>
        <v>59</v>
      </c>
      <c r="B71" s="344"/>
      <c r="C71" s="58"/>
      <c r="D71" s="53" t="s">
        <v>111</v>
      </c>
      <c r="E71" s="60">
        <v>5</v>
      </c>
      <c r="F71" s="61">
        <v>0</v>
      </c>
      <c r="G71" s="56">
        <f t="shared" si="6"/>
        <v>5</v>
      </c>
      <c r="H71" s="60" t="s">
        <v>81</v>
      </c>
      <c r="I71" s="84">
        <v>0.6</v>
      </c>
      <c r="J71" s="85">
        <f t="shared" si="25"/>
        <v>3</v>
      </c>
      <c r="K71" s="86">
        <f>'LABOR SHEET'!C$6</f>
        <v>92</v>
      </c>
      <c r="L71" s="87">
        <f t="shared" si="26"/>
        <v>55.2</v>
      </c>
      <c r="M71" s="87">
        <f t="shared" si="27"/>
        <v>276</v>
      </c>
      <c r="N71" s="87">
        <v>0</v>
      </c>
      <c r="O71" s="87">
        <f t="shared" si="28"/>
        <v>0</v>
      </c>
      <c r="P71" s="87">
        <f t="shared" si="29"/>
        <v>55.2</v>
      </c>
      <c r="Q71" s="104">
        <f t="shared" si="30"/>
        <v>276</v>
      </c>
      <c r="R71" s="98"/>
    </row>
    <row r="72" spans="1:18">
      <c r="A72" s="57">
        <f>IF(F72&lt;&gt;"",1+MAX($A$2:A71),"")</f>
        <v>60</v>
      </c>
      <c r="B72" s="344"/>
      <c r="C72" s="58"/>
      <c r="D72" s="53" t="s">
        <v>112</v>
      </c>
      <c r="E72" s="60">
        <v>2</v>
      </c>
      <c r="F72" s="61">
        <v>0</v>
      </c>
      <c r="G72" s="56">
        <f t="shared" si="6"/>
        <v>2</v>
      </c>
      <c r="H72" s="60" t="s">
        <v>81</v>
      </c>
      <c r="I72" s="84">
        <v>0.65</v>
      </c>
      <c r="J72" s="85">
        <f t="shared" si="25"/>
        <v>1.3</v>
      </c>
      <c r="K72" s="86">
        <f>'LABOR SHEET'!C$6</f>
        <v>92</v>
      </c>
      <c r="L72" s="87">
        <f t="shared" si="26"/>
        <v>59.8</v>
      </c>
      <c r="M72" s="87">
        <f t="shared" si="27"/>
        <v>119.6</v>
      </c>
      <c r="N72" s="87">
        <v>0</v>
      </c>
      <c r="O72" s="87">
        <f t="shared" si="28"/>
        <v>0</v>
      </c>
      <c r="P72" s="87">
        <f t="shared" si="29"/>
        <v>59.8</v>
      </c>
      <c r="Q72" s="104">
        <f t="shared" si="30"/>
        <v>119.6</v>
      </c>
      <c r="R72" s="98"/>
    </row>
    <row r="73" spans="1:18">
      <c r="A73" s="57">
        <f>IF(F73&lt;&gt;"",1+MAX($A$2:A72),"")</f>
        <v>61</v>
      </c>
      <c r="B73" s="344"/>
      <c r="C73" s="58"/>
      <c r="D73" s="53" t="s">
        <v>113</v>
      </c>
      <c r="E73" s="60">
        <v>5</v>
      </c>
      <c r="F73" s="61">
        <v>0</v>
      </c>
      <c r="G73" s="56">
        <f t="shared" si="6"/>
        <v>5</v>
      </c>
      <c r="H73" s="60" t="s">
        <v>81</v>
      </c>
      <c r="I73" s="84">
        <v>0.65</v>
      </c>
      <c r="J73" s="85">
        <f t="shared" si="25"/>
        <v>3.25</v>
      </c>
      <c r="K73" s="86">
        <f>'LABOR SHEET'!C$6</f>
        <v>92</v>
      </c>
      <c r="L73" s="87">
        <f t="shared" si="26"/>
        <v>59.8</v>
      </c>
      <c r="M73" s="87">
        <f t="shared" si="27"/>
        <v>299</v>
      </c>
      <c r="N73" s="87">
        <v>0</v>
      </c>
      <c r="O73" s="87">
        <f t="shared" si="28"/>
        <v>0</v>
      </c>
      <c r="P73" s="87">
        <f t="shared" si="29"/>
        <v>59.8</v>
      </c>
      <c r="Q73" s="104">
        <f t="shared" si="30"/>
        <v>299</v>
      </c>
      <c r="R73" s="98"/>
    </row>
    <row r="74" spans="1:18">
      <c r="A74" s="57">
        <f>IF(F74&lt;&gt;"",1+MAX($A$2:A73),"")</f>
        <v>62</v>
      </c>
      <c r="B74" s="344"/>
      <c r="C74" s="52"/>
      <c r="D74" s="53" t="s">
        <v>114</v>
      </c>
      <c r="E74" s="54">
        <v>16</v>
      </c>
      <c r="F74" s="55">
        <v>0</v>
      </c>
      <c r="G74" s="56">
        <f t="shared" si="6"/>
        <v>16</v>
      </c>
      <c r="H74" s="60" t="s">
        <v>81</v>
      </c>
      <c r="I74" s="84">
        <v>1</v>
      </c>
      <c r="J74" s="85">
        <f t="shared" si="25"/>
        <v>16</v>
      </c>
      <c r="K74" s="86">
        <f>'LABOR SHEET'!C$5</f>
        <v>96.91</v>
      </c>
      <c r="L74" s="87">
        <f t="shared" si="26"/>
        <v>96.91</v>
      </c>
      <c r="M74" s="87">
        <f t="shared" si="27"/>
        <v>1550.56</v>
      </c>
      <c r="N74" s="87">
        <v>0</v>
      </c>
      <c r="O74" s="87">
        <f t="shared" si="28"/>
        <v>0</v>
      </c>
      <c r="P74" s="87">
        <f t="shared" si="29"/>
        <v>96.91</v>
      </c>
      <c r="Q74" s="104">
        <f t="shared" si="30"/>
        <v>1550.56</v>
      </c>
      <c r="R74" s="98"/>
    </row>
    <row r="75" spans="1:18">
      <c r="A75" s="57" t="str">
        <f>IF(F75&lt;&gt;"",1+MAX($A$2:A74),"")</f>
        <v/>
      </c>
      <c r="B75" s="344"/>
      <c r="C75" s="52"/>
      <c r="D75" s="53"/>
      <c r="E75" s="54"/>
      <c r="F75" s="55"/>
      <c r="G75" s="56"/>
      <c r="H75" s="54"/>
      <c r="I75" s="84"/>
      <c r="J75" s="85"/>
      <c r="K75" s="86"/>
      <c r="L75" s="87"/>
      <c r="M75" s="87"/>
      <c r="N75" s="87"/>
      <c r="O75" s="87"/>
      <c r="P75" s="87"/>
      <c r="Q75" s="104"/>
      <c r="R75" s="98"/>
    </row>
    <row r="76" spans="1:18">
      <c r="A76" s="57" t="str">
        <f>IF(F76&lt;&gt;"",1+MAX($A$2:A75),"")</f>
        <v/>
      </c>
      <c r="B76" s="344"/>
      <c r="C76" s="74"/>
      <c r="D76" s="75" t="s">
        <v>115</v>
      </c>
      <c r="E76" s="76"/>
      <c r="F76" s="61"/>
      <c r="G76" s="62"/>
      <c r="H76" s="62"/>
      <c r="I76" s="62"/>
      <c r="J76" s="62"/>
      <c r="K76" s="93"/>
      <c r="L76" s="93"/>
      <c r="M76" s="93"/>
      <c r="N76" s="93"/>
      <c r="O76" s="93"/>
      <c r="P76" s="93"/>
      <c r="Q76" s="103"/>
      <c r="R76" s="98"/>
    </row>
    <row r="77" spans="1:18">
      <c r="A77" s="57">
        <f>IF(F77&lt;&gt;"",1+MAX($A$2:A76),"")</f>
        <v>63</v>
      </c>
      <c r="B77" s="344"/>
      <c r="C77" s="58"/>
      <c r="D77" s="53" t="s">
        <v>116</v>
      </c>
      <c r="E77" s="60">
        <v>9</v>
      </c>
      <c r="F77" s="61">
        <v>0</v>
      </c>
      <c r="G77" s="56">
        <f>(F77*E77)+E77</f>
        <v>9</v>
      </c>
      <c r="H77" s="60" t="s">
        <v>81</v>
      </c>
      <c r="I77" s="84">
        <f>0.8+1.24</f>
        <v>2.04</v>
      </c>
      <c r="J77" s="85">
        <f>+I77*G77</f>
        <v>18.36</v>
      </c>
      <c r="K77" s="86">
        <f>'LABOR SHEET'!C$6</f>
        <v>92</v>
      </c>
      <c r="L77" s="87">
        <f>I77*K77</f>
        <v>187.68</v>
      </c>
      <c r="M77" s="87">
        <f>K77*J77</f>
        <v>1689.12</v>
      </c>
      <c r="N77" s="87">
        <v>0</v>
      </c>
      <c r="O77" s="87">
        <f>N77*G77</f>
        <v>0</v>
      </c>
      <c r="P77" s="87">
        <f>(I77*K77)+N77</f>
        <v>187.68</v>
      </c>
      <c r="Q77" s="104">
        <f>P77*G77</f>
        <v>1689.12</v>
      </c>
      <c r="R77" s="98"/>
    </row>
    <row r="78" spans="1:18">
      <c r="A78" s="57" t="str">
        <f>IF(F78&lt;&gt;"",1+MAX($A$2:A77),"")</f>
        <v/>
      </c>
      <c r="B78" s="344"/>
      <c r="C78" s="58"/>
      <c r="D78" s="53"/>
      <c r="E78" s="60"/>
      <c r="F78" s="61"/>
      <c r="G78" s="56"/>
      <c r="H78" s="64"/>
      <c r="I78" s="84"/>
      <c r="J78" s="85"/>
      <c r="K78" s="86"/>
      <c r="L78" s="87"/>
      <c r="M78" s="87"/>
      <c r="N78" s="87"/>
      <c r="O78" s="87"/>
      <c r="P78" s="87"/>
      <c r="Q78" s="104"/>
      <c r="R78" s="98"/>
    </row>
    <row r="79" spans="1:18">
      <c r="A79" s="57" t="str">
        <f>IF(F79&lt;&gt;"",1+MAX($A$2:A78),"")</f>
        <v/>
      </c>
      <c r="B79" s="344"/>
      <c r="C79" s="74"/>
      <c r="D79" s="75" t="s">
        <v>117</v>
      </c>
      <c r="E79" s="76"/>
      <c r="F79" s="61"/>
      <c r="G79" s="56"/>
      <c r="H79" s="62"/>
      <c r="I79" s="62"/>
      <c r="J79" s="62"/>
      <c r="K79" s="93"/>
      <c r="L79" s="93"/>
      <c r="M79" s="93"/>
      <c r="N79" s="93"/>
      <c r="O79" s="93"/>
      <c r="P79" s="93"/>
      <c r="Q79" s="152"/>
      <c r="R79" s="98"/>
    </row>
    <row r="80" spans="1:18">
      <c r="A80" s="57">
        <f>IF(F80&lt;&gt;"",1+MAX($A$2:A79),"")</f>
        <v>64</v>
      </c>
      <c r="B80" s="345"/>
      <c r="C80" s="52"/>
      <c r="D80" s="53" t="s">
        <v>118</v>
      </c>
      <c r="E80" s="54">
        <v>1</v>
      </c>
      <c r="F80" s="55">
        <v>0</v>
      </c>
      <c r="G80" s="56">
        <f>(F80*E80)+E80</f>
        <v>1</v>
      </c>
      <c r="H80" s="54" t="s">
        <v>45</v>
      </c>
      <c r="I80" s="84">
        <v>0</v>
      </c>
      <c r="J80" s="85">
        <f>+I80*G80</f>
        <v>0</v>
      </c>
      <c r="K80" s="86">
        <f>'LABOR SHEET'!C$13</f>
        <v>60</v>
      </c>
      <c r="L80" s="87">
        <f>I80*K80</f>
        <v>0</v>
      </c>
      <c r="M80" s="87">
        <f>K80*J80</f>
        <v>0</v>
      </c>
      <c r="N80" s="87">
        <f>1250*7</f>
        <v>8750</v>
      </c>
      <c r="O80" s="87">
        <f>N80*G80</f>
        <v>8750</v>
      </c>
      <c r="P80" s="87">
        <f>(I80*K80)+N80</f>
        <v>8750</v>
      </c>
      <c r="Q80" s="104">
        <f>P80*G80</f>
        <v>8750</v>
      </c>
      <c r="R80" s="98"/>
    </row>
    <row r="81" spans="1:19">
      <c r="A81" s="57" t="str">
        <f>IF(F81&lt;&gt;"",1+MAX($A$2:A80),"")</f>
        <v/>
      </c>
      <c r="B81" s="105"/>
      <c r="C81" s="58"/>
      <c r="D81" s="59"/>
      <c r="E81" s="60"/>
      <c r="F81" s="61"/>
      <c r="G81" s="62"/>
      <c r="H81" s="64"/>
      <c r="I81" s="88"/>
      <c r="J81" s="85"/>
      <c r="K81" s="86"/>
      <c r="L81" s="87"/>
      <c r="M81" s="87"/>
      <c r="N81" s="87"/>
      <c r="O81" s="87"/>
      <c r="P81" s="91"/>
      <c r="Q81" s="153"/>
      <c r="R81" s="98"/>
    </row>
    <row r="82" spans="1:19" s="26" customFormat="1">
      <c r="A82" s="57" t="str">
        <f>IF(F82&lt;&gt;"",1+MAX($A$2:A81),"")</f>
        <v/>
      </c>
      <c r="B82" s="106"/>
      <c r="C82" s="70"/>
      <c r="D82" s="71" t="s">
        <v>53</v>
      </c>
      <c r="E82" s="72"/>
      <c r="F82" s="72"/>
      <c r="G82" s="72"/>
      <c r="H82" s="72"/>
      <c r="I82" s="72"/>
      <c r="J82" s="139"/>
      <c r="K82" s="139"/>
      <c r="L82" s="139"/>
      <c r="M82" s="139"/>
      <c r="N82" s="139"/>
      <c r="O82" s="92"/>
      <c r="P82" s="92"/>
      <c r="Q82" s="99">
        <f>SUM(Q20:Q80)</f>
        <v>109016.13465370001</v>
      </c>
      <c r="R82" s="100"/>
    </row>
    <row r="83" spans="1:19" s="26" customFormat="1">
      <c r="A83" s="57" t="str">
        <f>IF(F83&lt;&gt;"",1+MAX($A$2:A82),"")</f>
        <v/>
      </c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154"/>
      <c r="R83" s="100"/>
    </row>
    <row r="84" spans="1:19" s="28" customFormat="1">
      <c r="A84" s="57" t="str">
        <f>IF(F84&lt;&gt;"",1+MAX($A$2:A83),"")</f>
        <v/>
      </c>
      <c r="B84" s="48"/>
      <c r="C84" s="49">
        <v>3</v>
      </c>
      <c r="D84" s="107" t="s">
        <v>119</v>
      </c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155"/>
      <c r="S84" s="102"/>
    </row>
    <row r="85" spans="1:19">
      <c r="A85" s="57" t="str">
        <f>IF(F85&lt;&gt;"",1+MAX($A$2:A84),"")</f>
        <v/>
      </c>
      <c r="B85" s="346" t="s">
        <v>120</v>
      </c>
      <c r="C85" s="70"/>
      <c r="D85" s="75" t="s">
        <v>121</v>
      </c>
      <c r="E85" s="108"/>
      <c r="F85" s="109"/>
      <c r="G85" s="62"/>
      <c r="H85" s="62"/>
      <c r="I85" s="140"/>
      <c r="J85" s="62"/>
      <c r="K85" s="93"/>
      <c r="L85" s="93"/>
      <c r="M85" s="93"/>
      <c r="N85" s="93"/>
      <c r="O85" s="93"/>
      <c r="P85" s="93"/>
      <c r="Q85" s="152"/>
      <c r="R85" s="98"/>
      <c r="S85" s="98"/>
    </row>
    <row r="86" spans="1:19">
      <c r="A86" s="57" t="str">
        <f>IF(F86&lt;&gt;"",1+MAX($A$2:A85),"")</f>
        <v/>
      </c>
      <c r="B86" s="347"/>
      <c r="C86" s="58"/>
      <c r="D86" s="110" t="s">
        <v>122</v>
      </c>
      <c r="E86" s="62"/>
      <c r="F86" s="61"/>
      <c r="G86" s="62"/>
      <c r="H86" s="111"/>
      <c r="I86" s="141"/>
      <c r="J86" s="141"/>
      <c r="K86" s="141"/>
      <c r="L86" s="141"/>
      <c r="M86" s="141"/>
      <c r="N86" s="141"/>
      <c r="O86" s="141"/>
      <c r="P86" s="141"/>
      <c r="Q86" s="152"/>
      <c r="R86" s="98"/>
      <c r="S86" s="98"/>
    </row>
    <row r="87" spans="1:19">
      <c r="A87" s="57">
        <f>IF(F87&lt;&gt;"",1+MAX($A$2:A86),"")</f>
        <v>65</v>
      </c>
      <c r="B87" s="347"/>
      <c r="C87" s="112"/>
      <c r="D87" s="53" t="s">
        <v>123</v>
      </c>
      <c r="E87" s="113">
        <f>1*0.67*59/27</f>
        <v>1.4640740740740701</v>
      </c>
      <c r="F87" s="61">
        <v>0.1</v>
      </c>
      <c r="G87" s="113">
        <f>(F87*E87)+E87</f>
        <v>1.6104814814814801</v>
      </c>
      <c r="H87" s="60" t="s">
        <v>124</v>
      </c>
      <c r="I87" s="84">
        <v>2.21</v>
      </c>
      <c r="J87" s="85">
        <f>+I87*G87</f>
        <v>3.55916407407407</v>
      </c>
      <c r="K87" s="86">
        <f>'LABOR SHEET'!C$11</f>
        <v>70</v>
      </c>
      <c r="L87" s="87">
        <f>I87*K87</f>
        <v>154.69999999999999</v>
      </c>
      <c r="M87" s="87">
        <f>K87*J87</f>
        <v>249.14148518518499</v>
      </c>
      <c r="N87" s="87">
        <v>178.5</v>
      </c>
      <c r="O87" s="87">
        <f>N87*G87</f>
        <v>287.470944444444</v>
      </c>
      <c r="P87" s="87">
        <f>(I87*K87)+N87</f>
        <v>333.2</v>
      </c>
      <c r="Q87" s="104">
        <f>P87*G87</f>
        <v>536.61242962963001</v>
      </c>
      <c r="R87" s="98"/>
      <c r="S87" s="98"/>
    </row>
    <row r="88" spans="1:19">
      <c r="A88" s="57" t="str">
        <f>IF(F88&lt;&gt;"",1+MAX($A$2:A87),"")</f>
        <v/>
      </c>
      <c r="B88" s="347"/>
      <c r="C88" s="112"/>
      <c r="D88" s="53"/>
      <c r="E88" s="62"/>
      <c r="F88" s="61"/>
      <c r="G88" s="62"/>
      <c r="H88" s="76"/>
      <c r="I88" s="84"/>
      <c r="J88" s="85"/>
      <c r="K88" s="86"/>
      <c r="L88" s="87"/>
      <c r="M88" s="87"/>
      <c r="N88" s="87"/>
      <c r="O88" s="87"/>
      <c r="P88" s="87"/>
      <c r="Q88" s="152"/>
      <c r="R88" s="98"/>
      <c r="S88" s="98"/>
    </row>
    <row r="89" spans="1:19">
      <c r="A89" s="57" t="str">
        <f>IF(F89&lt;&gt;"",1+MAX($A$2:A88),"")</f>
        <v/>
      </c>
      <c r="B89" s="347"/>
      <c r="C89" s="58"/>
      <c r="D89" s="110" t="s">
        <v>125</v>
      </c>
      <c r="E89" s="62"/>
      <c r="F89" s="61"/>
      <c r="G89" s="62"/>
      <c r="H89" s="111"/>
      <c r="I89" s="141"/>
      <c r="J89" s="141"/>
      <c r="K89" s="141"/>
      <c r="L89" s="141"/>
      <c r="M89" s="141"/>
      <c r="N89" s="141"/>
      <c r="O89" s="141"/>
      <c r="P89" s="141"/>
      <c r="Q89" s="152"/>
      <c r="R89" s="98"/>
      <c r="S89" s="98"/>
    </row>
    <row r="90" spans="1:19">
      <c r="A90" s="57">
        <f>IF(F90&lt;&gt;"",1+MAX($A$2:A89),"")</f>
        <v>66</v>
      </c>
      <c r="B90" s="347"/>
      <c r="C90" s="112"/>
      <c r="D90" s="53" t="s">
        <v>126</v>
      </c>
      <c r="E90" s="113">
        <f>0.5*0.5*38/27</f>
        <v>0.35185185185185203</v>
      </c>
      <c r="F90" s="61">
        <v>0.1</v>
      </c>
      <c r="G90" s="113">
        <f t="shared" ref="G90" si="31">(F90*E90)+E90</f>
        <v>0.38703703703703701</v>
      </c>
      <c r="H90" s="60" t="s">
        <v>124</v>
      </c>
      <c r="I90" s="84">
        <v>2.42</v>
      </c>
      <c r="J90" s="85">
        <f>+I90*G90</f>
        <v>0.93662962962963003</v>
      </c>
      <c r="K90" s="86">
        <f>'LABOR SHEET'!C$11</f>
        <v>70</v>
      </c>
      <c r="L90" s="87">
        <f>I90*K90</f>
        <v>169.4</v>
      </c>
      <c r="M90" s="87">
        <f>K90*J90</f>
        <v>65.564074074074099</v>
      </c>
      <c r="N90" s="87">
        <v>178.5</v>
      </c>
      <c r="O90" s="87">
        <f>N90*G90</f>
        <v>69.086111111111094</v>
      </c>
      <c r="P90" s="87">
        <f>(I90*K90)+N90</f>
        <v>347.9</v>
      </c>
      <c r="Q90" s="104">
        <f>P90*G90</f>
        <v>134.65018518518499</v>
      </c>
      <c r="R90" s="98"/>
      <c r="S90" s="98"/>
    </row>
    <row r="91" spans="1:19">
      <c r="A91" s="57" t="str">
        <f>IF(F91&lt;&gt;"",1+MAX($A$2:A90),"")</f>
        <v/>
      </c>
      <c r="B91" s="347"/>
      <c r="C91" s="112"/>
      <c r="D91" s="53"/>
      <c r="E91" s="62"/>
      <c r="F91" s="61"/>
      <c r="G91" s="62"/>
      <c r="H91" s="76"/>
      <c r="I91" s="84"/>
      <c r="J91" s="85"/>
      <c r="K91" s="86"/>
      <c r="L91" s="87"/>
      <c r="M91" s="87"/>
      <c r="N91" s="87"/>
      <c r="O91" s="87"/>
      <c r="P91" s="87"/>
      <c r="Q91" s="152"/>
      <c r="R91" s="98"/>
      <c r="S91" s="98"/>
    </row>
    <row r="92" spans="1:19">
      <c r="A92" s="57" t="str">
        <f>IF(F92&lt;&gt;"",1+MAX($A$2:A91),"")</f>
        <v/>
      </c>
      <c r="B92" s="347"/>
      <c r="C92" s="58"/>
      <c r="D92" s="75" t="s">
        <v>127</v>
      </c>
      <c r="E92" s="62"/>
      <c r="F92" s="61"/>
      <c r="G92" s="113"/>
      <c r="H92" s="111"/>
      <c r="I92" s="141"/>
      <c r="J92" s="141"/>
      <c r="K92" s="141"/>
      <c r="L92" s="141"/>
      <c r="M92" s="141"/>
      <c r="N92" s="141"/>
      <c r="O92" s="141"/>
      <c r="P92" s="141"/>
      <c r="Q92" s="152"/>
      <c r="R92" s="98"/>
      <c r="S92" s="98"/>
    </row>
    <row r="93" spans="1:19">
      <c r="A93" s="57">
        <f>IF(F93&lt;&gt;"",1+MAX($A$2:A92),"")</f>
        <v>67</v>
      </c>
      <c r="B93" s="347"/>
      <c r="C93" s="112"/>
      <c r="D93" s="53" t="s">
        <v>128</v>
      </c>
      <c r="E93" s="113">
        <f>0.333*130/27</f>
        <v>1.6033333333333299</v>
      </c>
      <c r="F93" s="61">
        <v>0.1</v>
      </c>
      <c r="G93" s="113">
        <f>(F93*E93)+E93</f>
        <v>1.76366666666667</v>
      </c>
      <c r="H93" s="60" t="s">
        <v>124</v>
      </c>
      <c r="I93" s="84">
        <v>2.6</v>
      </c>
      <c r="J93" s="85">
        <f t="shared" ref="J93:J95" si="32">+I93*G93</f>
        <v>4.5855333333333297</v>
      </c>
      <c r="K93" s="86">
        <f>'LABOR SHEET'!C$11</f>
        <v>70</v>
      </c>
      <c r="L93" s="87">
        <f t="shared" ref="L93:L95" si="33">I93*K93</f>
        <v>182</v>
      </c>
      <c r="M93" s="87">
        <f t="shared" ref="M93:M95" si="34">K93*J93</f>
        <v>320.98733333333303</v>
      </c>
      <c r="N93" s="87">
        <v>235</v>
      </c>
      <c r="O93" s="87">
        <f t="shared" ref="O93:O95" si="35">N93*G93</f>
        <v>414.46166666666699</v>
      </c>
      <c r="P93" s="87">
        <f t="shared" ref="P93:P95" si="36">(I93*K93)+N93</f>
        <v>417</v>
      </c>
      <c r="Q93" s="104">
        <f t="shared" ref="Q93:Q95" si="37">P93*G93</f>
        <v>735.44899999999996</v>
      </c>
      <c r="R93" s="98"/>
      <c r="S93" s="98"/>
    </row>
    <row r="94" spans="1:19">
      <c r="A94" s="57">
        <f>IF(F94&lt;&gt;"",1+MAX($A$2:A93),"")</f>
        <v>68</v>
      </c>
      <c r="B94" s="347"/>
      <c r="C94" s="112"/>
      <c r="D94" s="53" t="s">
        <v>129</v>
      </c>
      <c r="E94" s="113">
        <f>0.333*692/27</f>
        <v>8.53466666666667</v>
      </c>
      <c r="F94" s="61">
        <v>0.1</v>
      </c>
      <c r="G94" s="113">
        <f>(F94*E94)+E94</f>
        <v>9.3881333333333306</v>
      </c>
      <c r="H94" s="60" t="s">
        <v>124</v>
      </c>
      <c r="I94" s="84">
        <v>2.6</v>
      </c>
      <c r="J94" s="85">
        <f t="shared" si="32"/>
        <v>24.4091466666667</v>
      </c>
      <c r="K94" s="86">
        <f>'LABOR SHEET'!C$11</f>
        <v>70</v>
      </c>
      <c r="L94" s="87">
        <f t="shared" si="33"/>
        <v>182</v>
      </c>
      <c r="M94" s="87">
        <f t="shared" si="34"/>
        <v>1708.64026666667</v>
      </c>
      <c r="N94" s="87">
        <v>135</v>
      </c>
      <c r="O94" s="87">
        <f t="shared" si="35"/>
        <v>1267.3979999999999</v>
      </c>
      <c r="P94" s="87">
        <f t="shared" si="36"/>
        <v>317</v>
      </c>
      <c r="Q94" s="104">
        <f t="shared" si="37"/>
        <v>2976.0382666666701</v>
      </c>
      <c r="R94" s="98"/>
      <c r="S94" s="98"/>
    </row>
    <row r="95" spans="1:19">
      <c r="A95" s="57">
        <f>IF(F95&lt;&gt;"",1+MAX($A$2:A94),"")</f>
        <v>69</v>
      </c>
      <c r="B95" s="348"/>
      <c r="C95" s="112"/>
      <c r="D95" s="53" t="s">
        <v>130</v>
      </c>
      <c r="E95" s="113">
        <f>0.333*692/27</f>
        <v>8.53466666666667</v>
      </c>
      <c r="F95" s="61">
        <v>0.1</v>
      </c>
      <c r="G95" s="113">
        <f t="shared" ref="G95" si="38">(F95*E95)+E95</f>
        <v>9.3881333333333306</v>
      </c>
      <c r="H95" s="60" t="s">
        <v>124</v>
      </c>
      <c r="I95" s="84">
        <v>0.8</v>
      </c>
      <c r="J95" s="85">
        <f t="shared" si="32"/>
        <v>7.5105066666666698</v>
      </c>
      <c r="K95" s="86">
        <f>'LABOR SHEET'!C$11</f>
        <v>70</v>
      </c>
      <c r="L95" s="87">
        <f t="shared" si="33"/>
        <v>56</v>
      </c>
      <c r="M95" s="87">
        <f t="shared" si="34"/>
        <v>525.73546666666698</v>
      </c>
      <c r="N95" s="87">
        <v>66</v>
      </c>
      <c r="O95" s="87">
        <f t="shared" si="35"/>
        <v>619.61680000000001</v>
      </c>
      <c r="P95" s="87">
        <f t="shared" si="36"/>
        <v>122</v>
      </c>
      <c r="Q95" s="104">
        <f t="shared" si="37"/>
        <v>1145.3522666666699</v>
      </c>
      <c r="R95" s="98"/>
      <c r="S95" s="98"/>
    </row>
    <row r="96" spans="1:19">
      <c r="A96" s="57" t="str">
        <f>IF(F96&lt;&gt;"",1+MAX($A$2:A95),"")</f>
        <v/>
      </c>
      <c r="B96" s="114"/>
      <c r="C96" s="112"/>
      <c r="D96" s="115"/>
      <c r="E96" s="66"/>
      <c r="F96" s="65"/>
      <c r="G96" s="66"/>
      <c r="H96" s="64"/>
      <c r="I96" s="88"/>
      <c r="J96" s="142"/>
      <c r="K96" s="142"/>
      <c r="L96" s="91"/>
      <c r="M96" s="91"/>
      <c r="N96" s="91"/>
      <c r="O96" s="91"/>
      <c r="P96" s="91"/>
      <c r="Q96" s="153"/>
      <c r="R96" s="98"/>
      <c r="S96" s="98"/>
    </row>
    <row r="97" spans="1:19" s="26" customFormat="1">
      <c r="A97" s="57" t="str">
        <f>IF(F97&lt;&gt;"",1+MAX($A$2:A96),"")</f>
        <v/>
      </c>
      <c r="B97" s="106"/>
      <c r="C97" s="70"/>
      <c r="D97" s="71" t="s">
        <v>53</v>
      </c>
      <c r="E97" s="72"/>
      <c r="F97" s="72"/>
      <c r="G97" s="72"/>
      <c r="H97" s="72"/>
      <c r="I97" s="72"/>
      <c r="J97" s="143"/>
      <c r="K97" s="143"/>
      <c r="L97" s="144"/>
      <c r="M97" s="145"/>
      <c r="N97" s="144"/>
      <c r="O97" s="92"/>
      <c r="P97" s="92"/>
      <c r="Q97" s="99">
        <f>SUM(Q86:Q95)</f>
        <v>5528.1021481481503</v>
      </c>
      <c r="R97" s="100"/>
    </row>
    <row r="98" spans="1:19">
      <c r="A98" s="57" t="str">
        <f>IF(F98&lt;&gt;"",1+MAX($A$2:A97),"")</f>
        <v/>
      </c>
      <c r="B98" s="116"/>
      <c r="C98" s="116"/>
      <c r="D98" s="116"/>
      <c r="E98" s="117"/>
      <c r="F98" s="118"/>
      <c r="G98" s="117"/>
      <c r="H98" s="119"/>
      <c r="I98" s="146"/>
      <c r="J98" s="117"/>
      <c r="K98" s="147"/>
      <c r="L98" s="147"/>
      <c r="M98" s="147"/>
      <c r="N98" s="147"/>
      <c r="O98" s="147"/>
      <c r="P98" s="147"/>
      <c r="Q98" s="156"/>
      <c r="R98" s="98"/>
      <c r="S98" s="98"/>
    </row>
    <row r="99" spans="1:19" s="28" customFormat="1">
      <c r="A99" s="57" t="str">
        <f>IF(F99&lt;&gt;"",1+MAX($A$2:A98),"")</f>
        <v/>
      </c>
      <c r="B99" s="48"/>
      <c r="C99" s="49">
        <v>6</v>
      </c>
      <c r="D99" s="120" t="s">
        <v>131</v>
      </c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57"/>
      <c r="S99" s="102"/>
    </row>
    <row r="100" spans="1:19">
      <c r="A100" s="57" t="str">
        <f>IF(F100&lt;&gt;"",1+MAX($A$2:A99),"")</f>
        <v/>
      </c>
      <c r="B100" s="349" t="s">
        <v>132</v>
      </c>
      <c r="C100" s="112"/>
      <c r="D100" s="122" t="s">
        <v>133</v>
      </c>
      <c r="E100" s="62"/>
      <c r="F100" s="123"/>
      <c r="G100" s="124"/>
      <c r="H100" s="125"/>
      <c r="I100" s="84"/>
      <c r="J100" s="85"/>
      <c r="K100" s="86"/>
      <c r="L100" s="87"/>
      <c r="M100" s="87"/>
      <c r="N100" s="87"/>
      <c r="O100" s="87"/>
      <c r="P100" s="87"/>
      <c r="Q100" s="152"/>
      <c r="R100" s="98"/>
      <c r="S100" s="98"/>
    </row>
    <row r="101" spans="1:19" ht="78">
      <c r="A101" s="57">
        <f>IF(F101&lt;&gt;"",1+MAX($A$2:A100),"")</f>
        <v>70</v>
      </c>
      <c r="B101" s="350"/>
      <c r="C101" s="112"/>
      <c r="D101" s="126" t="s">
        <v>134</v>
      </c>
      <c r="E101" s="62">
        <v>34.36</v>
      </c>
      <c r="F101" s="123">
        <v>0.05</v>
      </c>
      <c r="G101" s="124">
        <f>E101*(1+F101)</f>
        <v>36.078000000000003</v>
      </c>
      <c r="H101" s="127" t="s">
        <v>71</v>
      </c>
      <c r="I101" s="84">
        <v>0.68</v>
      </c>
      <c r="J101" s="85">
        <f>+I101*G101</f>
        <v>24.53304</v>
      </c>
      <c r="K101" s="86">
        <f>'LABOR SHEET'!C$3</f>
        <v>83.49</v>
      </c>
      <c r="L101" s="87">
        <f>I101*K101</f>
        <v>56.773200000000003</v>
      </c>
      <c r="M101" s="87">
        <f>K101*J101</f>
        <v>2048.2635095999999</v>
      </c>
      <c r="N101" s="87">
        <v>160</v>
      </c>
      <c r="O101" s="87">
        <f>N101*G101</f>
        <v>5772.48</v>
      </c>
      <c r="P101" s="87">
        <f>(I101*K101)+N101</f>
        <v>216.7732</v>
      </c>
      <c r="Q101" s="104">
        <f>P101*G101</f>
        <v>7820.7435095999999</v>
      </c>
      <c r="R101" s="98"/>
      <c r="S101" s="98"/>
    </row>
    <row r="102" spans="1:19" ht="78">
      <c r="A102" s="57">
        <f>IF(F102&lt;&gt;"",1+MAX($A$2:A101),"")</f>
        <v>71</v>
      </c>
      <c r="B102" s="350"/>
      <c r="C102" s="112"/>
      <c r="D102" s="126" t="s">
        <v>135</v>
      </c>
      <c r="E102" s="62">
        <v>31.24</v>
      </c>
      <c r="F102" s="123">
        <v>0.05</v>
      </c>
      <c r="G102" s="124">
        <f>E102*(1+F102)</f>
        <v>32.802</v>
      </c>
      <c r="H102" s="127" t="s">
        <v>71</v>
      </c>
      <c r="I102" s="84">
        <v>0.68</v>
      </c>
      <c r="J102" s="85">
        <f t="shared" ref="J102:J104" si="39">+I102*G102</f>
        <v>22.30536</v>
      </c>
      <c r="K102" s="86">
        <f>'LABOR SHEET'!C$3</f>
        <v>83.49</v>
      </c>
      <c r="L102" s="87">
        <f t="shared" ref="L102:L104" si="40">I102*K102</f>
        <v>56.773200000000003</v>
      </c>
      <c r="M102" s="87">
        <f t="shared" ref="M102:M104" si="41">K102*J102</f>
        <v>1862.2745064000001</v>
      </c>
      <c r="N102" s="87">
        <v>172</v>
      </c>
      <c r="O102" s="87">
        <f t="shared" ref="O102:O104" si="42">N102*G102</f>
        <v>5641.9440000000004</v>
      </c>
      <c r="P102" s="87">
        <f t="shared" ref="P102:P104" si="43">(I102*K102)+N102</f>
        <v>228.7732</v>
      </c>
      <c r="Q102" s="104">
        <f t="shared" ref="Q102:Q104" si="44">P102*G102</f>
        <v>7504.2185063999996</v>
      </c>
      <c r="R102" s="98"/>
      <c r="S102" s="98"/>
    </row>
    <row r="103" spans="1:19" ht="78">
      <c r="A103" s="57">
        <f>IF(F103&lt;&gt;"",1+MAX($A$2:A102),"")</f>
        <v>72</v>
      </c>
      <c r="B103" s="350"/>
      <c r="C103" s="112"/>
      <c r="D103" s="126" t="s">
        <v>136</v>
      </c>
      <c r="E103" s="62">
        <v>18.510000000000002</v>
      </c>
      <c r="F103" s="123">
        <v>0.05</v>
      </c>
      <c r="G103" s="124">
        <f>E103*(1+F103)</f>
        <v>19.435500000000001</v>
      </c>
      <c r="H103" s="127" t="s">
        <v>71</v>
      </c>
      <c r="I103" s="84">
        <v>0.48</v>
      </c>
      <c r="J103" s="85">
        <f t="shared" si="39"/>
        <v>9.3290400000000009</v>
      </c>
      <c r="K103" s="86">
        <f>'LABOR SHEET'!C$3</f>
        <v>83.49</v>
      </c>
      <c r="L103" s="87">
        <f t="shared" si="40"/>
        <v>40.075200000000002</v>
      </c>
      <c r="M103" s="87">
        <f t="shared" si="41"/>
        <v>778.88154959999997</v>
      </c>
      <c r="N103" s="87">
        <v>110</v>
      </c>
      <c r="O103" s="87">
        <f t="shared" si="42"/>
        <v>2137.9050000000002</v>
      </c>
      <c r="P103" s="87">
        <f t="shared" si="43"/>
        <v>150.0752</v>
      </c>
      <c r="Q103" s="104">
        <f t="shared" si="44"/>
        <v>2916.7865495999999</v>
      </c>
      <c r="R103" s="98"/>
      <c r="S103" s="98"/>
    </row>
    <row r="104" spans="1:19" ht="78">
      <c r="A104" s="57">
        <f>IF(F104&lt;&gt;"",1+MAX($A$2:A103),"")</f>
        <v>73</v>
      </c>
      <c r="B104" s="351"/>
      <c r="C104" s="112"/>
      <c r="D104" s="126" t="s">
        <v>137</v>
      </c>
      <c r="E104" s="62">
        <v>37.46</v>
      </c>
      <c r="F104" s="123">
        <v>0.05</v>
      </c>
      <c r="G104" s="124">
        <f>E104*(1+F104)</f>
        <v>39.332999999999998</v>
      </c>
      <c r="H104" s="127" t="s">
        <v>71</v>
      </c>
      <c r="I104" s="84">
        <v>0.48</v>
      </c>
      <c r="J104" s="85">
        <f t="shared" si="39"/>
        <v>18.879840000000002</v>
      </c>
      <c r="K104" s="86">
        <f>'LABOR SHEET'!C$3</f>
        <v>83.49</v>
      </c>
      <c r="L104" s="87">
        <f t="shared" si="40"/>
        <v>40.075200000000002</v>
      </c>
      <c r="M104" s="87">
        <f t="shared" si="41"/>
        <v>1576.2778416000001</v>
      </c>
      <c r="N104" s="87">
        <v>118</v>
      </c>
      <c r="O104" s="87">
        <f t="shared" si="42"/>
        <v>4641.2939999999999</v>
      </c>
      <c r="P104" s="87">
        <f t="shared" si="43"/>
        <v>158.0752</v>
      </c>
      <c r="Q104" s="104">
        <f t="shared" si="44"/>
        <v>6217.5718416</v>
      </c>
      <c r="R104" s="98"/>
      <c r="S104" s="98"/>
    </row>
    <row r="105" spans="1:19">
      <c r="A105" s="57" t="str">
        <f>IF(F105&lt;&gt;"",1+MAX($A$2:A104),"")</f>
        <v/>
      </c>
      <c r="B105" s="114"/>
      <c r="C105" s="112"/>
      <c r="D105" s="126"/>
      <c r="E105" s="62"/>
      <c r="F105" s="123"/>
      <c r="G105" s="124"/>
      <c r="H105" s="127"/>
      <c r="I105" s="84"/>
      <c r="J105" s="85"/>
      <c r="K105" s="86"/>
      <c r="L105" s="87"/>
      <c r="M105" s="87"/>
      <c r="N105" s="87"/>
      <c r="O105" s="87"/>
      <c r="P105" s="87"/>
      <c r="Q105" s="152"/>
      <c r="R105" s="98"/>
      <c r="S105" s="98"/>
    </row>
    <row r="106" spans="1:19" s="26" customFormat="1">
      <c r="A106" s="57" t="str">
        <f>IF(F106&lt;&gt;"",1+MAX($A$2:A105),"")</f>
        <v/>
      </c>
      <c r="B106" s="128"/>
      <c r="C106" s="129"/>
      <c r="D106" s="71" t="s">
        <v>53</v>
      </c>
      <c r="E106" s="72"/>
      <c r="F106" s="72"/>
      <c r="G106" s="72"/>
      <c r="H106" s="72"/>
      <c r="I106" s="72"/>
      <c r="J106" s="143"/>
      <c r="K106" s="143"/>
      <c r="L106" s="144"/>
      <c r="M106" s="145"/>
      <c r="N106" s="144"/>
      <c r="O106" s="92"/>
      <c r="P106" s="92"/>
      <c r="Q106" s="99">
        <f>SUM(Q100:Q105)</f>
        <v>24459.320407200001</v>
      </c>
      <c r="R106" s="100"/>
    </row>
    <row r="107" spans="1:19" s="26" customFormat="1">
      <c r="A107" s="57" t="str">
        <f>IF(F107&lt;&gt;"",1+MAX($A$2:A106),"")</f>
        <v/>
      </c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154"/>
      <c r="R107" s="100"/>
    </row>
    <row r="108" spans="1:19" s="28" customFormat="1">
      <c r="A108" s="57" t="str">
        <f>IF(F108&lt;&gt;"",1+MAX($A$2:A107),"")</f>
        <v/>
      </c>
      <c r="B108" s="48"/>
      <c r="C108" s="49">
        <v>7</v>
      </c>
      <c r="D108" s="107" t="s">
        <v>138</v>
      </c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155"/>
      <c r="S108" s="102"/>
    </row>
    <row r="109" spans="1:19">
      <c r="A109" s="57" t="str">
        <f>IF(F109&lt;&gt;"",1+MAX($A$2:A108),"")</f>
        <v/>
      </c>
      <c r="B109" s="352" t="s">
        <v>139</v>
      </c>
      <c r="C109" s="70"/>
      <c r="D109" s="122" t="s">
        <v>140</v>
      </c>
      <c r="E109" s="108"/>
      <c r="F109" s="123"/>
      <c r="G109" s="124"/>
      <c r="H109" s="127"/>
      <c r="I109" s="141"/>
      <c r="J109" s="141"/>
      <c r="K109" s="93"/>
      <c r="L109" s="93"/>
      <c r="M109" s="93"/>
      <c r="N109" s="93"/>
      <c r="O109" s="93"/>
      <c r="P109" s="141"/>
      <c r="Q109" s="152"/>
      <c r="R109" s="98"/>
      <c r="S109" s="98"/>
    </row>
    <row r="110" spans="1:19">
      <c r="A110" s="57" t="str">
        <f>IF(F110&lt;&gt;"",1+MAX($A$2:A109),"")</f>
        <v/>
      </c>
      <c r="B110" s="353"/>
      <c r="C110" s="58"/>
      <c r="D110" s="110" t="s">
        <v>141</v>
      </c>
      <c r="E110" s="62"/>
      <c r="F110" s="123"/>
      <c r="G110" s="124"/>
      <c r="H110" s="127"/>
      <c r="I110" s="141"/>
      <c r="J110" s="141"/>
      <c r="K110" s="141"/>
      <c r="L110" s="141"/>
      <c r="M110" s="141"/>
      <c r="N110" s="141"/>
      <c r="O110" s="141"/>
      <c r="P110" s="141"/>
      <c r="Q110" s="152"/>
      <c r="R110" s="98"/>
      <c r="S110" s="98"/>
    </row>
    <row r="111" spans="1:19">
      <c r="A111" s="57">
        <f>IF(F111&lt;&gt;"",1+MAX($A$2:A110),"")</f>
        <v>74</v>
      </c>
      <c r="B111" s="353"/>
      <c r="C111" s="130"/>
      <c r="D111" s="53" t="s">
        <v>142</v>
      </c>
      <c r="E111" s="62">
        <v>8494</v>
      </c>
      <c r="F111" s="61">
        <v>0.1</v>
      </c>
      <c r="G111" s="62">
        <f t="shared" ref="G111:G113" si="45">(F111*E111)+E111</f>
        <v>9343.4</v>
      </c>
      <c r="H111" s="60" t="s">
        <v>58</v>
      </c>
      <c r="I111" s="84">
        <v>0.02</v>
      </c>
      <c r="J111" s="85">
        <f>+I111*G111</f>
        <v>186.86799999999999</v>
      </c>
      <c r="K111" s="86">
        <f>'LABOR SHEET'!C$12</f>
        <v>74.5</v>
      </c>
      <c r="L111" s="87">
        <f>I111*K111</f>
        <v>1.49</v>
      </c>
      <c r="M111" s="87">
        <f>K111*J111</f>
        <v>13921.665999999999</v>
      </c>
      <c r="N111" s="87">
        <v>1.1299999999999999</v>
      </c>
      <c r="O111" s="87">
        <f>N111*G111</f>
        <v>10558.041999999999</v>
      </c>
      <c r="P111" s="87">
        <f>(I111*K111)+N111</f>
        <v>2.62</v>
      </c>
      <c r="Q111" s="104">
        <f>P111*G111</f>
        <v>24479.707999999999</v>
      </c>
      <c r="R111" s="98"/>
      <c r="S111" s="98"/>
    </row>
    <row r="112" spans="1:19">
      <c r="A112" s="57">
        <f>IF(F112&lt;&gt;"",1+MAX($A$2:A111),"")</f>
        <v>75</v>
      </c>
      <c r="B112" s="353"/>
      <c r="C112" s="58"/>
      <c r="D112" s="53" t="s">
        <v>143</v>
      </c>
      <c r="E112" s="62">
        <v>8494</v>
      </c>
      <c r="F112" s="61">
        <v>0.1</v>
      </c>
      <c r="G112" s="62">
        <f t="shared" si="45"/>
        <v>9343.4</v>
      </c>
      <c r="H112" s="60" t="s">
        <v>58</v>
      </c>
      <c r="I112" s="84">
        <v>0.01</v>
      </c>
      <c r="J112" s="85">
        <f t="shared" ref="J112:J114" si="46">+I112*G112</f>
        <v>93.433999999999997</v>
      </c>
      <c r="K112" s="86">
        <f>'LABOR SHEET'!C$12</f>
        <v>74.5</v>
      </c>
      <c r="L112" s="87">
        <f t="shared" ref="L112:L114" si="47">I112*K112</f>
        <v>0.745</v>
      </c>
      <c r="M112" s="87">
        <f t="shared" ref="M112:M114" si="48">K112*J112</f>
        <v>6960.8329999999996</v>
      </c>
      <c r="N112" s="87">
        <v>1.5</v>
      </c>
      <c r="O112" s="87">
        <f t="shared" ref="O112:O114" si="49">N112*G112</f>
        <v>14015.1</v>
      </c>
      <c r="P112" s="87">
        <f t="shared" ref="P112:P114" si="50">(I112*K112)+N112</f>
        <v>2.2450000000000001</v>
      </c>
      <c r="Q112" s="104">
        <f t="shared" ref="Q112:Q114" si="51">P112*G112</f>
        <v>20975.933000000001</v>
      </c>
      <c r="R112" s="98"/>
      <c r="S112" s="98"/>
    </row>
    <row r="113" spans="1:19">
      <c r="A113" s="57">
        <f>IF(F113&lt;&gt;"",1+MAX($A$2:A112),"")</f>
        <v>76</v>
      </c>
      <c r="B113" s="353"/>
      <c r="C113" s="58"/>
      <c r="D113" s="53" t="s">
        <v>144</v>
      </c>
      <c r="E113" s="62">
        <v>8494</v>
      </c>
      <c r="F113" s="61">
        <v>0.1</v>
      </c>
      <c r="G113" s="62">
        <f t="shared" si="45"/>
        <v>9343.4</v>
      </c>
      <c r="H113" s="60" t="s">
        <v>58</v>
      </c>
      <c r="I113" s="84">
        <v>1.7999999999999999E-2</v>
      </c>
      <c r="J113" s="85">
        <f t="shared" si="46"/>
        <v>168.18119999999999</v>
      </c>
      <c r="K113" s="86">
        <f>'LABOR SHEET'!C$12</f>
        <v>74.5</v>
      </c>
      <c r="L113" s="87">
        <f t="shared" si="47"/>
        <v>1.341</v>
      </c>
      <c r="M113" s="87">
        <f t="shared" si="48"/>
        <v>12529.499400000001</v>
      </c>
      <c r="N113" s="87">
        <v>1.25</v>
      </c>
      <c r="O113" s="87">
        <f t="shared" si="49"/>
        <v>11679.25</v>
      </c>
      <c r="P113" s="87">
        <f t="shared" si="50"/>
        <v>2.5910000000000002</v>
      </c>
      <c r="Q113" s="104">
        <f t="shared" si="51"/>
        <v>24208.749400000001</v>
      </c>
      <c r="R113" s="98"/>
      <c r="S113" s="98"/>
    </row>
    <row r="114" spans="1:19">
      <c r="A114" s="57">
        <f>IF(F114&lt;&gt;"",1+MAX($A$2:A113),"")</f>
        <v>77</v>
      </c>
      <c r="B114" s="353"/>
      <c r="C114" s="58"/>
      <c r="D114" s="53" t="s">
        <v>145</v>
      </c>
      <c r="E114" s="62">
        <v>8494</v>
      </c>
      <c r="F114" s="61">
        <v>0.1</v>
      </c>
      <c r="G114" s="124">
        <f t="shared" ref="G114" si="52">E114*(1+F114)</f>
        <v>9343.4</v>
      </c>
      <c r="H114" s="60" t="s">
        <v>58</v>
      </c>
      <c r="I114" s="84">
        <v>1.4999999999999999E-2</v>
      </c>
      <c r="J114" s="85">
        <f t="shared" si="46"/>
        <v>140.15100000000001</v>
      </c>
      <c r="K114" s="86">
        <f>'LABOR SHEET'!C$12</f>
        <v>74.5</v>
      </c>
      <c r="L114" s="87">
        <f t="shared" si="47"/>
        <v>1.1174999999999999</v>
      </c>
      <c r="M114" s="87">
        <f t="shared" si="48"/>
        <v>10441.2495</v>
      </c>
      <c r="N114" s="87">
        <v>1.78</v>
      </c>
      <c r="O114" s="87">
        <f t="shared" si="49"/>
        <v>16631.252</v>
      </c>
      <c r="P114" s="87">
        <f t="shared" si="50"/>
        <v>2.8975</v>
      </c>
      <c r="Q114" s="104">
        <f t="shared" si="51"/>
        <v>27072.501499999998</v>
      </c>
      <c r="R114" s="98"/>
      <c r="S114" s="98"/>
    </row>
    <row r="115" spans="1:19">
      <c r="A115" s="57" t="str">
        <f>IF(F115&lt;&gt;"",1+MAX($A$2:A114),"")</f>
        <v/>
      </c>
      <c r="B115" s="353"/>
      <c r="C115" s="58"/>
      <c r="D115" s="110" t="s">
        <v>146</v>
      </c>
      <c r="E115" s="62"/>
      <c r="F115" s="61"/>
      <c r="G115" s="62"/>
      <c r="H115" s="111"/>
      <c r="I115" s="141"/>
      <c r="J115" s="141"/>
      <c r="K115" s="141"/>
      <c r="L115" s="141"/>
      <c r="M115" s="141"/>
      <c r="N115" s="141"/>
      <c r="O115" s="141"/>
      <c r="P115" s="141"/>
      <c r="Q115" s="152"/>
      <c r="R115" s="98"/>
      <c r="S115" s="98"/>
    </row>
    <row r="116" spans="1:19">
      <c r="A116" s="57">
        <f>IF(F116&lt;&gt;"",1+MAX($A$2:A115),"")</f>
        <v>78</v>
      </c>
      <c r="B116" s="354"/>
      <c r="C116" s="58"/>
      <c r="D116" s="53" t="s">
        <v>147</v>
      </c>
      <c r="E116" s="62">
        <v>8</v>
      </c>
      <c r="F116" s="61">
        <v>0</v>
      </c>
      <c r="G116" s="62">
        <f>(F116*E116)+E116</f>
        <v>8</v>
      </c>
      <c r="H116" s="60" t="s">
        <v>81</v>
      </c>
      <c r="I116" s="84">
        <v>0.4</v>
      </c>
      <c r="J116" s="85">
        <f>+I116*G116</f>
        <v>3.2</v>
      </c>
      <c r="K116" s="86">
        <f>'LABOR SHEET'!C$12</f>
        <v>74.5</v>
      </c>
      <c r="L116" s="87">
        <f>I116*K116</f>
        <v>29.8</v>
      </c>
      <c r="M116" s="87">
        <f>K116*J116</f>
        <v>238.4</v>
      </c>
      <c r="N116" s="87">
        <v>44</v>
      </c>
      <c r="O116" s="87">
        <f>N116*G116</f>
        <v>352</v>
      </c>
      <c r="P116" s="87">
        <f>(I116*K116)+N116</f>
        <v>73.8</v>
      </c>
      <c r="Q116" s="104">
        <f>P116*G116</f>
        <v>590.4</v>
      </c>
      <c r="R116" s="98"/>
      <c r="S116" s="98"/>
    </row>
    <row r="117" spans="1:19">
      <c r="A117" s="57" t="str">
        <f>IF(F117&lt;&gt;"",1+MAX($A$2:A116),"")</f>
        <v/>
      </c>
      <c r="B117" s="114"/>
      <c r="C117" s="58"/>
      <c r="D117" s="53"/>
      <c r="E117" s="62"/>
      <c r="F117" s="61"/>
      <c r="G117" s="62"/>
      <c r="H117" s="60"/>
      <c r="I117" s="84"/>
      <c r="J117" s="85"/>
      <c r="K117" s="86"/>
      <c r="L117" s="87"/>
      <c r="M117" s="87"/>
      <c r="N117" s="87"/>
      <c r="O117" s="87"/>
      <c r="P117" s="87"/>
      <c r="Q117" s="152"/>
      <c r="R117" s="98"/>
      <c r="S117" s="98"/>
    </row>
    <row r="118" spans="1:19" s="26" customFormat="1">
      <c r="A118" s="57" t="str">
        <f>IF(F118&lt;&gt;"",1+MAX($A$2:A117),"")</f>
        <v/>
      </c>
      <c r="B118" s="106"/>
      <c r="C118" s="70"/>
      <c r="D118" s="71" t="s">
        <v>53</v>
      </c>
      <c r="E118" s="72"/>
      <c r="F118" s="72"/>
      <c r="G118" s="72"/>
      <c r="H118" s="72"/>
      <c r="I118" s="72"/>
      <c r="J118" s="143"/>
      <c r="K118" s="143"/>
      <c r="L118" s="144"/>
      <c r="M118" s="145"/>
      <c r="N118" s="144"/>
      <c r="O118" s="92"/>
      <c r="P118" s="92"/>
      <c r="Q118" s="99">
        <f>SUM(Q109:Q116)</f>
        <v>97327.291899999997</v>
      </c>
      <c r="R118" s="100"/>
    </row>
    <row r="119" spans="1:19">
      <c r="A119" s="57" t="str">
        <f>IF(F119&lt;&gt;"",1+MAX($A$2:A118),"")</f>
        <v/>
      </c>
      <c r="B119" s="116"/>
      <c r="C119" s="116"/>
      <c r="D119" s="116"/>
      <c r="E119" s="117"/>
      <c r="F119" s="118"/>
      <c r="G119" s="117"/>
      <c r="H119" s="119"/>
      <c r="I119" s="146"/>
      <c r="J119" s="117"/>
      <c r="K119" s="147"/>
      <c r="L119" s="147"/>
      <c r="M119" s="147"/>
      <c r="N119" s="147"/>
      <c r="O119" s="147"/>
      <c r="P119" s="147"/>
      <c r="Q119" s="156"/>
      <c r="R119" s="98"/>
      <c r="S119" s="98"/>
    </row>
    <row r="120" spans="1:19" s="28" customFormat="1">
      <c r="A120" s="57" t="str">
        <f>IF(F120&lt;&gt;"",1+MAX($A$2:A119),"")</f>
        <v/>
      </c>
      <c r="B120" s="48"/>
      <c r="C120" s="49">
        <v>8</v>
      </c>
      <c r="D120" s="107" t="s">
        <v>148</v>
      </c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155"/>
      <c r="S120" s="102"/>
    </row>
    <row r="121" spans="1:19">
      <c r="A121" s="57" t="str">
        <f>IF(F121&lt;&gt;"",1+MAX($A$2:A120),"")</f>
        <v/>
      </c>
      <c r="B121" s="352" t="s">
        <v>149</v>
      </c>
      <c r="C121" s="70"/>
      <c r="D121" s="122" t="s">
        <v>150</v>
      </c>
      <c r="E121" s="108"/>
      <c r="F121" s="109"/>
      <c r="G121" s="62"/>
      <c r="H121" s="62"/>
      <c r="I121" s="140"/>
      <c r="J121" s="62"/>
      <c r="K121" s="93"/>
      <c r="L121" s="93"/>
      <c r="M121" s="93"/>
      <c r="N121" s="93"/>
      <c r="O121" s="93"/>
      <c r="P121" s="93"/>
      <c r="Q121" s="152"/>
      <c r="R121" s="98"/>
      <c r="S121" s="98"/>
    </row>
    <row r="122" spans="1:19" s="29" customFormat="1">
      <c r="A122" s="131">
        <f>IF(F122&lt;&gt;"",1+MAX($A$2:A121),"")</f>
        <v>79</v>
      </c>
      <c r="B122" s="353"/>
      <c r="C122" s="132"/>
      <c r="D122" s="133" t="s">
        <v>151</v>
      </c>
      <c r="E122" s="134">
        <v>33</v>
      </c>
      <c r="F122" s="135">
        <v>0</v>
      </c>
      <c r="G122" s="134">
        <f>(F122*E122)+E122</f>
        <v>33</v>
      </c>
      <c r="H122" s="134" t="s">
        <v>81</v>
      </c>
      <c r="I122" s="148">
        <f>0.18*3*7</f>
        <v>3.78</v>
      </c>
      <c r="J122" s="149">
        <f>+I122*G122</f>
        <v>124.74</v>
      </c>
      <c r="K122" s="86">
        <f>'LABOR SHEET'!C$3</f>
        <v>83.49</v>
      </c>
      <c r="L122" s="150">
        <f>I122*K122</f>
        <v>315.59219999999999</v>
      </c>
      <c r="M122" s="150">
        <f>K122*J122</f>
        <v>10414.542600000001</v>
      </c>
      <c r="N122" s="150">
        <f>38*3*7</f>
        <v>798</v>
      </c>
      <c r="O122" s="150">
        <f>N122*G122</f>
        <v>26334</v>
      </c>
      <c r="P122" s="150">
        <f>(I122*K122)+N122</f>
        <v>1113.5922</v>
      </c>
      <c r="Q122" s="104">
        <f>P122*G122</f>
        <v>36748.542600000001</v>
      </c>
      <c r="R122" s="158"/>
      <c r="S122" s="158"/>
    </row>
    <row r="123" spans="1:19" s="29" customFormat="1" ht="31.2">
      <c r="A123" s="131">
        <f>IF(F123&lt;&gt;"",1+MAX($A$2:A122),"")</f>
        <v>80</v>
      </c>
      <c r="B123" s="353"/>
      <c r="C123" s="132"/>
      <c r="D123" s="133" t="s">
        <v>152</v>
      </c>
      <c r="E123" s="134">
        <v>3</v>
      </c>
      <c r="F123" s="135">
        <v>0</v>
      </c>
      <c r="G123" s="134">
        <f>(F123*E123)+E123</f>
        <v>3</v>
      </c>
      <c r="H123" s="134" t="s">
        <v>81</v>
      </c>
      <c r="I123" s="148">
        <f>0.22*3*7</f>
        <v>4.62</v>
      </c>
      <c r="J123" s="149">
        <f t="shared" ref="J123:J124" si="53">+I123*G123</f>
        <v>13.86</v>
      </c>
      <c r="K123" s="86">
        <f>'LABOR SHEET'!C$3</f>
        <v>83.49</v>
      </c>
      <c r="L123" s="150">
        <f t="shared" ref="L123:L124" si="54">I123*K123</f>
        <v>385.72379999999998</v>
      </c>
      <c r="M123" s="150">
        <f t="shared" ref="M123:M124" si="55">K123*J123</f>
        <v>1157.1713999999999</v>
      </c>
      <c r="N123" s="150">
        <f>46*3*7</f>
        <v>966</v>
      </c>
      <c r="O123" s="150">
        <f t="shared" ref="O123:O124" si="56">N123*G123</f>
        <v>2898</v>
      </c>
      <c r="P123" s="150">
        <f t="shared" ref="P123:P124" si="57">(I123*K123)+N123</f>
        <v>1351.7238</v>
      </c>
      <c r="Q123" s="104">
        <f t="shared" ref="Q123:Q124" si="58">P123*G123</f>
        <v>4055.1714000000002</v>
      </c>
      <c r="R123" s="158"/>
      <c r="S123" s="158"/>
    </row>
    <row r="124" spans="1:19" s="29" customFormat="1">
      <c r="A124" s="131">
        <f>IF(F124&lt;&gt;"",1+MAX($A$2:A123),"")</f>
        <v>81</v>
      </c>
      <c r="B124" s="353"/>
      <c r="C124" s="132"/>
      <c r="D124" s="133" t="s">
        <v>153</v>
      </c>
      <c r="E124" s="134">
        <v>1</v>
      </c>
      <c r="F124" s="135">
        <v>0</v>
      </c>
      <c r="G124" s="134">
        <f>(F124*E124)+E124</f>
        <v>1</v>
      </c>
      <c r="H124" s="134" t="s">
        <v>81</v>
      </c>
      <c r="I124" s="148">
        <f>0.2*3*7</f>
        <v>4.2</v>
      </c>
      <c r="J124" s="149">
        <f t="shared" si="53"/>
        <v>4.2</v>
      </c>
      <c r="K124" s="86">
        <f>'LABOR SHEET'!C$3</f>
        <v>83.49</v>
      </c>
      <c r="L124" s="150">
        <f t="shared" si="54"/>
        <v>350.65800000000002</v>
      </c>
      <c r="M124" s="150">
        <f t="shared" si="55"/>
        <v>350.65800000000002</v>
      </c>
      <c r="N124" s="150">
        <f>42*3*7</f>
        <v>882</v>
      </c>
      <c r="O124" s="150">
        <f t="shared" si="56"/>
        <v>882</v>
      </c>
      <c r="P124" s="150">
        <f t="shared" si="57"/>
        <v>1232.6579999999999</v>
      </c>
      <c r="Q124" s="104">
        <f t="shared" si="58"/>
        <v>1232.6579999999999</v>
      </c>
      <c r="R124" s="158"/>
      <c r="S124" s="158"/>
    </row>
    <row r="125" spans="1:19" s="29" customFormat="1">
      <c r="A125" s="131" t="str">
        <f>IF(F125&lt;&gt;"",1+MAX($A$2:A124),"")</f>
        <v/>
      </c>
      <c r="B125" s="353"/>
      <c r="C125" s="136"/>
      <c r="D125" s="133"/>
      <c r="E125" s="137"/>
      <c r="F125" s="135"/>
      <c r="G125" s="134"/>
      <c r="H125" s="134"/>
      <c r="I125" s="148"/>
      <c r="J125" s="149"/>
      <c r="K125" s="151"/>
      <c r="L125" s="150"/>
      <c r="M125" s="150"/>
      <c r="N125" s="150"/>
      <c r="O125" s="150"/>
      <c r="P125" s="150"/>
      <c r="Q125" s="152"/>
      <c r="R125" s="158"/>
      <c r="S125" s="158"/>
    </row>
    <row r="126" spans="1:19" s="29" customFormat="1">
      <c r="A126" s="131" t="str">
        <f>IF(F126&lt;&gt;"",1+MAX($A$2:A125),"")</f>
        <v/>
      </c>
      <c r="B126" s="353"/>
      <c r="C126" s="136"/>
      <c r="D126" s="138" t="s">
        <v>154</v>
      </c>
      <c r="E126" s="137"/>
      <c r="F126" s="135"/>
      <c r="G126" s="134"/>
      <c r="H126" s="134"/>
      <c r="I126" s="148"/>
      <c r="J126" s="149"/>
      <c r="K126" s="151"/>
      <c r="L126" s="150"/>
      <c r="M126" s="150"/>
      <c r="N126" s="150"/>
      <c r="O126" s="150"/>
      <c r="P126" s="150"/>
      <c r="Q126" s="152"/>
      <c r="R126" s="158"/>
      <c r="S126" s="158"/>
    </row>
    <row r="127" spans="1:19" s="29" customFormat="1">
      <c r="A127" s="131">
        <f>IF(F127&lt;&gt;"",1+MAX($A$2:A126),"")</f>
        <v>82</v>
      </c>
      <c r="B127" s="353"/>
      <c r="C127" s="132"/>
      <c r="D127" s="133" t="s">
        <v>155</v>
      </c>
      <c r="E127" s="134">
        <f>SUM(E122:E126)</f>
        <v>37</v>
      </c>
      <c r="F127" s="135">
        <v>0</v>
      </c>
      <c r="G127" s="134">
        <f t="shared" ref="G127:G137" si="59">(F127*E127)+E127</f>
        <v>37</v>
      </c>
      <c r="H127" s="134" t="s">
        <v>81</v>
      </c>
      <c r="I127" s="148">
        <v>2.1</v>
      </c>
      <c r="J127" s="149">
        <f>+I127*G127</f>
        <v>77.7</v>
      </c>
      <c r="K127" s="86">
        <f>'LABOR SHEET'!C$3</f>
        <v>83.49</v>
      </c>
      <c r="L127" s="150">
        <f>I127*K127</f>
        <v>175.32900000000001</v>
      </c>
      <c r="M127" s="150">
        <f>K127*J127</f>
        <v>6487.1729999999998</v>
      </c>
      <c r="N127" s="150">
        <v>355</v>
      </c>
      <c r="O127" s="150">
        <f>N127*G127</f>
        <v>13135</v>
      </c>
      <c r="P127" s="150">
        <f>(I127*K127)+N127</f>
        <v>530.32899999999995</v>
      </c>
      <c r="Q127" s="104">
        <f>P127*G127</f>
        <v>19622.172999999999</v>
      </c>
      <c r="R127" s="158"/>
      <c r="S127" s="158"/>
    </row>
    <row r="128" spans="1:19" s="29" customFormat="1">
      <c r="A128" s="131" t="str">
        <f>IF(F128&lt;&gt;"",1+MAX($A$2:A127),"")</f>
        <v/>
      </c>
      <c r="B128" s="353"/>
      <c r="C128" s="136"/>
      <c r="D128" s="133"/>
      <c r="E128" s="137"/>
      <c r="F128" s="135"/>
      <c r="G128" s="134"/>
      <c r="H128" s="134"/>
      <c r="I128" s="148"/>
      <c r="J128" s="149"/>
      <c r="K128" s="151"/>
      <c r="L128" s="150"/>
      <c r="M128" s="150"/>
      <c r="N128" s="150"/>
      <c r="O128" s="150"/>
      <c r="P128" s="150"/>
      <c r="Q128" s="152"/>
      <c r="R128" s="158"/>
      <c r="S128" s="158"/>
    </row>
    <row r="129" spans="1:36" s="29" customFormat="1">
      <c r="A129" s="131" t="str">
        <f>IF(F129&lt;&gt;"",1+MAX($A$2:A128),"")</f>
        <v/>
      </c>
      <c r="B129" s="353"/>
      <c r="C129" s="159"/>
      <c r="D129" s="160" t="s">
        <v>156</v>
      </c>
      <c r="E129" s="161"/>
      <c r="F129" s="162"/>
      <c r="G129" s="134"/>
      <c r="H129" s="134"/>
      <c r="I129" s="190"/>
      <c r="J129" s="190"/>
      <c r="K129" s="190"/>
      <c r="L129" s="190"/>
      <c r="M129" s="190"/>
      <c r="N129" s="190"/>
      <c r="O129" s="190"/>
      <c r="P129" s="190"/>
      <c r="Q129" s="152"/>
      <c r="R129" s="158"/>
      <c r="S129" s="158"/>
    </row>
    <row r="130" spans="1:36" s="29" customFormat="1">
      <c r="A130" s="131">
        <f>IF(F130&lt;&gt;"",1+MAX($A$2:A129),"")</f>
        <v>83</v>
      </c>
      <c r="B130" s="353"/>
      <c r="C130" s="132"/>
      <c r="D130" s="133" t="s">
        <v>157</v>
      </c>
      <c r="E130" s="163">
        <v>24</v>
      </c>
      <c r="F130" s="135">
        <v>0</v>
      </c>
      <c r="G130" s="134">
        <f t="shared" si="59"/>
        <v>24</v>
      </c>
      <c r="H130" s="134" t="s">
        <v>81</v>
      </c>
      <c r="I130" s="148">
        <f>0.2*3*7</f>
        <v>4.2</v>
      </c>
      <c r="J130" s="149">
        <f t="shared" ref="J130:J137" si="60">+I130*G130</f>
        <v>100.8</v>
      </c>
      <c r="K130" s="86">
        <f>'LABOR SHEET'!C$3</f>
        <v>83.49</v>
      </c>
      <c r="L130" s="150">
        <f t="shared" ref="L130:L137" si="61">I130*K130</f>
        <v>350.65800000000002</v>
      </c>
      <c r="M130" s="150">
        <f t="shared" ref="M130:M137" si="62">K130*J130</f>
        <v>8415.7919999999995</v>
      </c>
      <c r="N130" s="150">
        <f>50*3*7</f>
        <v>1050</v>
      </c>
      <c r="O130" s="150">
        <f t="shared" ref="O130:O137" si="63">N130*G130</f>
        <v>25200</v>
      </c>
      <c r="P130" s="150">
        <f t="shared" ref="P130:P137" si="64">(I130*K130)+N130</f>
        <v>1400.6579999999999</v>
      </c>
      <c r="Q130" s="104">
        <f>P130*G130</f>
        <v>33615.792000000001</v>
      </c>
      <c r="R130" s="158"/>
      <c r="S130" s="158"/>
    </row>
    <row r="131" spans="1:36" s="29" customFormat="1">
      <c r="A131" s="131">
        <f>IF(F131&lt;&gt;"",1+MAX($A$2:A130),"")</f>
        <v>84</v>
      </c>
      <c r="B131" s="353"/>
      <c r="C131" s="132"/>
      <c r="D131" s="133" t="s">
        <v>158</v>
      </c>
      <c r="E131" s="164">
        <v>4</v>
      </c>
      <c r="F131" s="135">
        <v>0</v>
      </c>
      <c r="G131" s="134">
        <f t="shared" si="59"/>
        <v>4</v>
      </c>
      <c r="H131" s="134" t="s">
        <v>81</v>
      </c>
      <c r="I131" s="148">
        <f>0.22*3*7</f>
        <v>4.62</v>
      </c>
      <c r="J131" s="149">
        <f t="shared" si="60"/>
        <v>18.48</v>
      </c>
      <c r="K131" s="86">
        <f>'LABOR SHEET'!C$3</f>
        <v>83.49</v>
      </c>
      <c r="L131" s="150">
        <f t="shared" si="61"/>
        <v>385.72379999999998</v>
      </c>
      <c r="M131" s="150">
        <f t="shared" si="62"/>
        <v>1542.8951999999999</v>
      </c>
      <c r="N131" s="150">
        <f>55*3*7</f>
        <v>1155</v>
      </c>
      <c r="O131" s="150">
        <f t="shared" si="63"/>
        <v>4620</v>
      </c>
      <c r="P131" s="150">
        <f t="shared" si="64"/>
        <v>1540.7238</v>
      </c>
      <c r="Q131" s="104">
        <f t="shared" ref="Q131:Q137" si="65">P131*G131</f>
        <v>6162.8951999999999</v>
      </c>
      <c r="R131" s="158"/>
      <c r="S131" s="158"/>
    </row>
    <row r="132" spans="1:36" s="29" customFormat="1">
      <c r="A132" s="131">
        <f>IF(F132&lt;&gt;"",1+MAX($A$2:A131),"")</f>
        <v>85</v>
      </c>
      <c r="B132" s="353"/>
      <c r="C132" s="132"/>
      <c r="D132" s="133" t="s">
        <v>159</v>
      </c>
      <c r="E132" s="164">
        <v>10</v>
      </c>
      <c r="F132" s="135">
        <v>0</v>
      </c>
      <c r="G132" s="134">
        <f t="shared" si="59"/>
        <v>10</v>
      </c>
      <c r="H132" s="134" t="s">
        <v>81</v>
      </c>
      <c r="I132" s="148">
        <f>0.2*3*4.5</f>
        <v>2.7</v>
      </c>
      <c r="J132" s="149">
        <f t="shared" si="60"/>
        <v>27</v>
      </c>
      <c r="K132" s="86">
        <f>'LABOR SHEET'!C$3</f>
        <v>83.49</v>
      </c>
      <c r="L132" s="150">
        <f t="shared" si="61"/>
        <v>225.423</v>
      </c>
      <c r="M132" s="150">
        <f t="shared" si="62"/>
        <v>2254.23</v>
      </c>
      <c r="N132" s="150">
        <f>50*3*4.5</f>
        <v>675</v>
      </c>
      <c r="O132" s="150">
        <f t="shared" si="63"/>
        <v>6750</v>
      </c>
      <c r="P132" s="150">
        <f t="shared" si="64"/>
        <v>900.423</v>
      </c>
      <c r="Q132" s="104">
        <f t="shared" si="65"/>
        <v>9004.23</v>
      </c>
      <c r="R132" s="158"/>
      <c r="S132" s="158"/>
    </row>
    <row r="133" spans="1:36" s="29" customFormat="1">
      <c r="A133" s="131">
        <f>IF(F133&lt;&gt;"",1+MAX($A$2:A132),"")</f>
        <v>86</v>
      </c>
      <c r="B133" s="353"/>
      <c r="C133" s="132"/>
      <c r="D133" s="133" t="s">
        <v>160</v>
      </c>
      <c r="E133" s="163">
        <v>1</v>
      </c>
      <c r="F133" s="135">
        <v>0</v>
      </c>
      <c r="G133" s="134">
        <f t="shared" si="59"/>
        <v>1</v>
      </c>
      <c r="H133" s="134" t="s">
        <v>81</v>
      </c>
      <c r="I133" s="148">
        <f>0.2*3*4.5</f>
        <v>2.7</v>
      </c>
      <c r="J133" s="149">
        <f t="shared" si="60"/>
        <v>2.7</v>
      </c>
      <c r="K133" s="86">
        <f>'LABOR SHEET'!C$3</f>
        <v>83.49</v>
      </c>
      <c r="L133" s="150">
        <f t="shared" si="61"/>
        <v>225.423</v>
      </c>
      <c r="M133" s="150">
        <f t="shared" si="62"/>
        <v>225.423</v>
      </c>
      <c r="N133" s="150">
        <f>50*3*4.5</f>
        <v>675</v>
      </c>
      <c r="O133" s="150">
        <f t="shared" si="63"/>
        <v>675</v>
      </c>
      <c r="P133" s="150">
        <f t="shared" si="64"/>
        <v>900.423</v>
      </c>
      <c r="Q133" s="104">
        <f t="shared" si="65"/>
        <v>900.423</v>
      </c>
      <c r="R133" s="158"/>
      <c r="S133" s="158"/>
    </row>
    <row r="134" spans="1:36" s="29" customFormat="1">
      <c r="A134" s="131">
        <f>IF(F134&lt;&gt;"",1+MAX($A$2:A133),"")</f>
        <v>87</v>
      </c>
      <c r="B134" s="353"/>
      <c r="C134" s="132"/>
      <c r="D134" s="133" t="s">
        <v>161</v>
      </c>
      <c r="E134" s="164">
        <v>1</v>
      </c>
      <c r="F134" s="135">
        <v>0</v>
      </c>
      <c r="G134" s="134">
        <f t="shared" si="59"/>
        <v>1</v>
      </c>
      <c r="H134" s="134" t="s">
        <v>81</v>
      </c>
      <c r="I134" s="148">
        <f>0.2*3*4.5</f>
        <v>2.7</v>
      </c>
      <c r="J134" s="149">
        <f t="shared" si="60"/>
        <v>2.7</v>
      </c>
      <c r="K134" s="86">
        <f>'LABOR SHEET'!C$3</f>
        <v>83.49</v>
      </c>
      <c r="L134" s="150">
        <f t="shared" si="61"/>
        <v>225.423</v>
      </c>
      <c r="M134" s="150">
        <f t="shared" si="62"/>
        <v>225.423</v>
      </c>
      <c r="N134" s="150">
        <f>50*3*4.5</f>
        <v>675</v>
      </c>
      <c r="O134" s="150">
        <f t="shared" si="63"/>
        <v>675</v>
      </c>
      <c r="P134" s="150">
        <f t="shared" si="64"/>
        <v>900.423</v>
      </c>
      <c r="Q134" s="104">
        <f t="shared" si="65"/>
        <v>900.423</v>
      </c>
      <c r="R134" s="158"/>
      <c r="S134" s="158"/>
    </row>
    <row r="135" spans="1:36" s="29" customFormat="1">
      <c r="A135" s="131">
        <f>IF(F135&lt;&gt;"",1+MAX($A$2:A134),"")</f>
        <v>88</v>
      </c>
      <c r="B135" s="353"/>
      <c r="C135" s="132"/>
      <c r="D135" s="133" t="s">
        <v>162</v>
      </c>
      <c r="E135" s="164">
        <v>11</v>
      </c>
      <c r="F135" s="135">
        <v>0</v>
      </c>
      <c r="G135" s="134">
        <f t="shared" si="59"/>
        <v>11</v>
      </c>
      <c r="H135" s="134" t="s">
        <v>81</v>
      </c>
      <c r="I135" s="148">
        <f>0.2*3*2.34</f>
        <v>1.4039999999999999</v>
      </c>
      <c r="J135" s="149">
        <f t="shared" si="60"/>
        <v>15.444000000000001</v>
      </c>
      <c r="K135" s="86">
        <f>'LABOR SHEET'!C$3</f>
        <v>83.49</v>
      </c>
      <c r="L135" s="150">
        <f t="shared" si="61"/>
        <v>117.21996</v>
      </c>
      <c r="M135" s="150">
        <f t="shared" si="62"/>
        <v>1289.41956</v>
      </c>
      <c r="N135" s="150">
        <f>50*3*2.34</f>
        <v>351</v>
      </c>
      <c r="O135" s="150">
        <f t="shared" si="63"/>
        <v>3861</v>
      </c>
      <c r="P135" s="150">
        <f t="shared" si="64"/>
        <v>468.21996000000001</v>
      </c>
      <c r="Q135" s="104">
        <f t="shared" si="65"/>
        <v>5150.4195600000003</v>
      </c>
      <c r="R135" s="158"/>
      <c r="S135" s="158"/>
    </row>
    <row r="136" spans="1:36" s="29" customFormat="1">
      <c r="A136" s="131">
        <f>IF(F136&lt;&gt;"",1+MAX($A$2:A135),"")</f>
        <v>89</v>
      </c>
      <c r="B136" s="353"/>
      <c r="C136" s="132"/>
      <c r="D136" s="133" t="s">
        <v>163</v>
      </c>
      <c r="E136" s="163">
        <v>7</v>
      </c>
      <c r="F136" s="135">
        <v>0</v>
      </c>
      <c r="G136" s="134">
        <f t="shared" si="59"/>
        <v>7</v>
      </c>
      <c r="H136" s="134" t="s">
        <v>81</v>
      </c>
      <c r="I136" s="148">
        <f>0.2*3*2.34</f>
        <v>1.4039999999999999</v>
      </c>
      <c r="J136" s="149">
        <f t="shared" si="60"/>
        <v>9.8279999999999994</v>
      </c>
      <c r="K136" s="86">
        <f>'LABOR SHEET'!C$3</f>
        <v>83.49</v>
      </c>
      <c r="L136" s="150">
        <f t="shared" si="61"/>
        <v>117.21996</v>
      </c>
      <c r="M136" s="150">
        <f t="shared" si="62"/>
        <v>820.53971999999999</v>
      </c>
      <c r="N136" s="150">
        <f>50*3*2.34</f>
        <v>351</v>
      </c>
      <c r="O136" s="150">
        <f t="shared" si="63"/>
        <v>2457</v>
      </c>
      <c r="P136" s="150">
        <f t="shared" si="64"/>
        <v>468.21996000000001</v>
      </c>
      <c r="Q136" s="104">
        <f t="shared" si="65"/>
        <v>3277.5397200000002</v>
      </c>
      <c r="R136" s="158"/>
      <c r="S136" s="158"/>
    </row>
    <row r="137" spans="1:36" s="29" customFormat="1">
      <c r="A137" s="131">
        <f>IF(F137&lt;&gt;"",1+MAX($A$2:A136),"")</f>
        <v>90</v>
      </c>
      <c r="B137" s="354"/>
      <c r="C137" s="132"/>
      <c r="D137" s="133" t="s">
        <v>164</v>
      </c>
      <c r="E137" s="164">
        <v>2</v>
      </c>
      <c r="F137" s="135">
        <v>0</v>
      </c>
      <c r="G137" s="134">
        <f t="shared" si="59"/>
        <v>2</v>
      </c>
      <c r="H137" s="134" t="s">
        <v>81</v>
      </c>
      <c r="I137" s="148">
        <f>0.2*3*4.67</f>
        <v>2.802</v>
      </c>
      <c r="J137" s="149">
        <f t="shared" si="60"/>
        <v>5.6040000000000001</v>
      </c>
      <c r="K137" s="86">
        <f>'LABOR SHEET'!C$3</f>
        <v>83.49</v>
      </c>
      <c r="L137" s="150">
        <f t="shared" si="61"/>
        <v>233.93897999999999</v>
      </c>
      <c r="M137" s="150">
        <f t="shared" si="62"/>
        <v>467.87795999999997</v>
      </c>
      <c r="N137" s="150">
        <f>50*3*4.67</f>
        <v>700.5</v>
      </c>
      <c r="O137" s="150">
        <f t="shared" si="63"/>
        <v>1401</v>
      </c>
      <c r="P137" s="150">
        <f t="shared" si="64"/>
        <v>934.43898000000002</v>
      </c>
      <c r="Q137" s="104">
        <f t="shared" si="65"/>
        <v>1868.87796</v>
      </c>
      <c r="R137" s="158"/>
      <c r="S137" s="158"/>
    </row>
    <row r="138" spans="1:36" s="29" customFormat="1">
      <c r="A138" s="131" t="str">
        <f>IF(F138&lt;&gt;"",1+MAX($A$2:A137),"")</f>
        <v/>
      </c>
      <c r="B138" s="165"/>
      <c r="C138" s="166"/>
      <c r="D138" s="167"/>
      <c r="E138" s="164"/>
      <c r="F138" s="135"/>
      <c r="G138" s="134"/>
      <c r="H138" s="134"/>
      <c r="I138" s="191"/>
      <c r="J138" s="191"/>
      <c r="K138" s="190"/>
      <c r="L138" s="190"/>
      <c r="M138" s="190"/>
      <c r="N138" s="190"/>
      <c r="O138" s="190"/>
      <c r="P138" s="190"/>
      <c r="Q138" s="152"/>
      <c r="R138" s="158"/>
      <c r="S138" s="158"/>
    </row>
    <row r="139" spans="1:36" s="30" customFormat="1">
      <c r="A139" s="131" t="str">
        <f>IF(F139&lt;&gt;"",1+MAX($A$2:A138),"")</f>
        <v/>
      </c>
      <c r="B139" s="168"/>
      <c r="C139" s="159"/>
      <c r="D139" s="71" t="s">
        <v>53</v>
      </c>
      <c r="E139" s="169"/>
      <c r="F139" s="169"/>
      <c r="G139" s="169"/>
      <c r="H139" s="169"/>
      <c r="I139" s="169"/>
      <c r="J139" s="192"/>
      <c r="K139" s="192"/>
      <c r="L139" s="193"/>
      <c r="M139" s="194"/>
      <c r="N139" s="193"/>
      <c r="O139" s="195"/>
      <c r="P139" s="195"/>
      <c r="Q139" s="199">
        <f>SUM(Q122:Q138)</f>
        <v>122539.14543999999</v>
      </c>
      <c r="R139" s="200"/>
    </row>
    <row r="140" spans="1:36" s="29" customFormat="1">
      <c r="A140" s="131" t="str">
        <f>IF(F140&lt;&gt;"",1+MAX($A$2:A139),"")</f>
        <v/>
      </c>
      <c r="B140" s="116"/>
      <c r="C140" s="116"/>
      <c r="D140" s="116"/>
      <c r="E140" s="170"/>
      <c r="F140" s="171"/>
      <c r="G140" s="170"/>
      <c r="H140" s="172"/>
      <c r="I140" s="196"/>
      <c r="J140" s="170"/>
      <c r="K140" s="197"/>
      <c r="L140" s="197"/>
      <c r="M140" s="197"/>
      <c r="N140" s="197"/>
      <c r="O140" s="197"/>
      <c r="P140" s="197"/>
      <c r="Q140" s="156"/>
      <c r="R140" s="158"/>
      <c r="S140" s="158"/>
    </row>
    <row r="141" spans="1:36" s="31" customFormat="1">
      <c r="A141" s="131" t="str">
        <f>IF(F141&lt;&gt;"",1+MAX($A$2:A140),"")</f>
        <v/>
      </c>
      <c r="B141" s="49"/>
      <c r="C141" s="49">
        <v>9</v>
      </c>
      <c r="D141" s="107" t="s">
        <v>165</v>
      </c>
      <c r="E141" s="49"/>
      <c r="F141" s="49"/>
      <c r="G141" s="49"/>
      <c r="H141" s="49"/>
      <c r="I141" s="49"/>
      <c r="J141" s="49"/>
      <c r="K141" s="49"/>
      <c r="L141" s="49" t="s">
        <v>166</v>
      </c>
      <c r="M141" s="49"/>
      <c r="N141" s="48"/>
      <c r="O141" s="48"/>
      <c r="P141" s="49"/>
      <c r="Q141" s="201"/>
      <c r="S141" s="202"/>
    </row>
    <row r="142" spans="1:36" s="31" customFormat="1">
      <c r="A142" s="131" t="str">
        <f>IF(F142&lt;&gt;"",1+MAX($A$2:A141),"")</f>
        <v/>
      </c>
      <c r="B142" s="355" t="s">
        <v>167</v>
      </c>
      <c r="C142" s="134"/>
      <c r="D142" s="160" t="s">
        <v>168</v>
      </c>
      <c r="E142" s="173"/>
      <c r="F142" s="173"/>
      <c r="G142" s="173"/>
      <c r="H142" s="173"/>
      <c r="I142" s="148"/>
      <c r="J142" s="188"/>
      <c r="K142" s="188"/>
      <c r="L142" s="150"/>
      <c r="M142" s="150"/>
      <c r="N142" s="150"/>
      <c r="O142" s="150"/>
      <c r="P142" s="150"/>
      <c r="Q142" s="152"/>
      <c r="R142" s="203"/>
      <c r="S142" s="203"/>
      <c r="T142" s="203"/>
      <c r="U142" s="203"/>
      <c r="V142" s="203"/>
      <c r="W142" s="203"/>
      <c r="X142" s="203"/>
      <c r="Y142" s="203"/>
      <c r="Z142" s="203"/>
      <c r="AA142" s="203"/>
      <c r="AB142" s="203"/>
      <c r="AC142" s="203"/>
      <c r="AD142" s="203"/>
      <c r="AE142" s="203"/>
      <c r="AF142" s="203"/>
      <c r="AG142" s="203"/>
      <c r="AH142" s="203"/>
      <c r="AI142" s="203"/>
      <c r="AJ142" s="203"/>
    </row>
    <row r="143" spans="1:36" s="31" customFormat="1">
      <c r="A143" s="131" t="str">
        <f>IF(F143&lt;&gt;"",1+MAX($A$2:A142),"")</f>
        <v/>
      </c>
      <c r="B143" s="356"/>
      <c r="C143" s="134"/>
      <c r="D143" s="174" t="s">
        <v>169</v>
      </c>
      <c r="E143" s="175"/>
      <c r="F143" s="176"/>
      <c r="G143" s="177"/>
      <c r="H143" s="178"/>
      <c r="I143" s="148"/>
      <c r="J143" s="149"/>
      <c r="K143" s="151"/>
      <c r="L143" s="150"/>
      <c r="M143" s="150"/>
      <c r="N143" s="150"/>
      <c r="O143" s="150"/>
      <c r="P143" s="150"/>
      <c r="Q143" s="152"/>
      <c r="R143" s="203"/>
      <c r="S143" s="203"/>
      <c r="T143" s="203"/>
      <c r="U143" s="203"/>
      <c r="V143" s="203"/>
      <c r="W143" s="203"/>
      <c r="X143" s="203"/>
      <c r="Y143" s="203"/>
      <c r="Z143" s="203"/>
      <c r="AA143" s="203"/>
      <c r="AB143" s="203"/>
      <c r="AC143" s="203"/>
      <c r="AD143" s="203"/>
      <c r="AE143" s="203"/>
      <c r="AF143" s="203"/>
      <c r="AG143" s="203"/>
      <c r="AH143" s="203"/>
      <c r="AI143" s="203"/>
      <c r="AJ143" s="203"/>
    </row>
    <row r="144" spans="1:36" s="31" customFormat="1">
      <c r="A144" s="131" t="str">
        <f>IF(F144&lt;&gt;"",1+MAX($A$2:A143),"")</f>
        <v/>
      </c>
      <c r="B144" s="356"/>
      <c r="C144" s="134"/>
      <c r="D144" s="179" t="s">
        <v>170</v>
      </c>
      <c r="E144" s="180">
        <v>310</v>
      </c>
      <c r="F144" s="181"/>
      <c r="G144" s="182"/>
      <c r="H144" s="183" t="s">
        <v>71</v>
      </c>
      <c r="I144" s="148"/>
      <c r="J144" s="149"/>
      <c r="K144" s="151"/>
      <c r="L144" s="150"/>
      <c r="M144" s="150"/>
      <c r="N144" s="150"/>
      <c r="O144" s="150"/>
      <c r="P144" s="150"/>
      <c r="Q144" s="152"/>
      <c r="R144" s="203"/>
      <c r="S144" s="203"/>
      <c r="T144" s="203"/>
      <c r="U144" s="203"/>
      <c r="V144" s="203"/>
      <c r="W144" s="203"/>
      <c r="X144" s="203"/>
      <c r="Y144" s="203"/>
      <c r="Z144" s="203"/>
      <c r="AA144" s="203"/>
      <c r="AB144" s="203"/>
      <c r="AC144" s="203"/>
      <c r="AD144" s="203"/>
      <c r="AE144" s="203"/>
      <c r="AF144" s="203"/>
      <c r="AG144" s="203"/>
      <c r="AH144" s="203"/>
      <c r="AI144" s="203"/>
      <c r="AJ144" s="203"/>
    </row>
    <row r="145" spans="1:36" s="31" customFormat="1">
      <c r="A145" s="131">
        <f>IF(F145&lt;&gt;"",1+MAX($A$2:A144),"")</f>
        <v>91</v>
      </c>
      <c r="B145" s="356"/>
      <c r="C145" s="134"/>
      <c r="D145" s="184" t="s">
        <v>171</v>
      </c>
      <c r="E145" s="185">
        <f>10*106*2</f>
        <v>2120</v>
      </c>
      <c r="F145" s="176">
        <v>0.1</v>
      </c>
      <c r="G145" s="177">
        <f t="shared" ref="G145:G158" si="66">E145*(1+F145)</f>
        <v>2332</v>
      </c>
      <c r="H145" s="186" t="s">
        <v>58</v>
      </c>
      <c r="I145" s="148">
        <v>1.7999999999999999E-2</v>
      </c>
      <c r="J145" s="149">
        <f>+I145*G145</f>
        <v>41.975999999999999</v>
      </c>
      <c r="K145" s="151">
        <f>'LABOR SHEET'!C$7</f>
        <v>83.49</v>
      </c>
      <c r="L145" s="150">
        <f>I145*K145</f>
        <v>1.50282</v>
      </c>
      <c r="M145" s="150">
        <f>K145*J145</f>
        <v>3504.5762399999999</v>
      </c>
      <c r="N145" s="150">
        <v>0.56000000000000005</v>
      </c>
      <c r="O145" s="150">
        <f>N145*G145</f>
        <v>1305.92</v>
      </c>
      <c r="P145" s="150">
        <f>(I145*K145)+N145</f>
        <v>2.0628199999999999</v>
      </c>
      <c r="Q145" s="104">
        <f>P145*G145</f>
        <v>4810.4962400000004</v>
      </c>
      <c r="R145" s="203"/>
      <c r="S145" s="203"/>
      <c r="T145" s="203"/>
      <c r="U145" s="203"/>
      <c r="V145" s="203"/>
      <c r="W145" s="203"/>
      <c r="X145" s="203"/>
      <c r="Y145" s="203"/>
      <c r="Z145" s="203"/>
      <c r="AA145" s="203"/>
      <c r="AB145" s="203"/>
      <c r="AC145" s="203"/>
      <c r="AD145" s="203"/>
      <c r="AE145" s="203"/>
      <c r="AF145" s="203"/>
      <c r="AG145" s="203"/>
      <c r="AH145" s="203"/>
      <c r="AI145" s="203"/>
      <c r="AJ145" s="203"/>
    </row>
    <row r="146" spans="1:36" s="31" customFormat="1">
      <c r="A146" s="131">
        <f>IF(F146&lt;&gt;"",1+MAX($A$2:A145),"")</f>
        <v>92</v>
      </c>
      <c r="B146" s="356"/>
      <c r="C146" s="134"/>
      <c r="D146" s="187" t="s">
        <v>172</v>
      </c>
      <c r="E146" s="185">
        <f>ROUNDUP(E145/32,0)</f>
        <v>67</v>
      </c>
      <c r="F146" s="176">
        <v>0</v>
      </c>
      <c r="G146" s="177">
        <f t="shared" si="66"/>
        <v>67</v>
      </c>
      <c r="H146" s="188" t="s">
        <v>81</v>
      </c>
      <c r="I146" s="148"/>
      <c r="J146" s="149"/>
      <c r="K146" s="151"/>
      <c r="L146" s="150"/>
      <c r="M146" s="150"/>
      <c r="N146" s="150"/>
      <c r="O146" s="150"/>
      <c r="P146" s="150"/>
      <c r="Q146" s="104"/>
      <c r="R146" s="203"/>
      <c r="S146" s="203"/>
      <c r="T146" s="203"/>
      <c r="U146" s="203"/>
      <c r="V146" s="203"/>
      <c r="W146" s="203"/>
      <c r="X146" s="203"/>
      <c r="Y146" s="203"/>
      <c r="Z146" s="203"/>
      <c r="AA146" s="203"/>
      <c r="AB146" s="203"/>
      <c r="AC146" s="203"/>
      <c r="AD146" s="203"/>
      <c r="AE146" s="203"/>
      <c r="AF146" s="203"/>
      <c r="AG146" s="203"/>
      <c r="AH146" s="203"/>
      <c r="AI146" s="203"/>
      <c r="AJ146" s="203"/>
    </row>
    <row r="147" spans="1:36" s="31" customFormat="1">
      <c r="A147" s="131">
        <f>IF(F147&lt;&gt;"",1+MAX($A$2:A146),"")</f>
        <v>93</v>
      </c>
      <c r="B147" s="356"/>
      <c r="C147" s="134"/>
      <c r="D147" s="187" t="s">
        <v>173</v>
      </c>
      <c r="E147" s="185">
        <f>ROUNDUP(E145*1.33,0)</f>
        <v>2820</v>
      </c>
      <c r="F147" s="176">
        <v>0</v>
      </c>
      <c r="G147" s="177">
        <f t="shared" si="66"/>
        <v>2820</v>
      </c>
      <c r="H147" s="188" t="s">
        <v>81</v>
      </c>
      <c r="I147" s="148">
        <v>2E-3</v>
      </c>
      <c r="J147" s="149">
        <f t="shared" ref="J147:J158" si="67">+I147*G147</f>
        <v>5.64</v>
      </c>
      <c r="K147" s="151">
        <f>'LABOR SHEET'!C$7</f>
        <v>83.49</v>
      </c>
      <c r="L147" s="150">
        <f t="shared" ref="L147:L158" si="68">I147*K147</f>
        <v>0.16697999999999999</v>
      </c>
      <c r="M147" s="150">
        <f t="shared" ref="M147:M158" si="69">K147*J147</f>
        <v>470.8836</v>
      </c>
      <c r="N147" s="198">
        <v>0.06</v>
      </c>
      <c r="O147" s="150">
        <f t="shared" ref="O147:O158" si="70">N147*G147</f>
        <v>169.2</v>
      </c>
      <c r="P147" s="150">
        <f t="shared" ref="P147:P158" si="71">(I147*K147)+N147</f>
        <v>0.22697999999999999</v>
      </c>
      <c r="Q147" s="104">
        <f t="shared" ref="Q147:Q158" si="72">P147*G147</f>
        <v>640.08360000000005</v>
      </c>
      <c r="R147" s="203"/>
      <c r="S147" s="203"/>
      <c r="T147" s="203"/>
      <c r="U147" s="203"/>
      <c r="V147" s="203"/>
      <c r="W147" s="203"/>
      <c r="X147" s="203"/>
      <c r="Y147" s="203"/>
      <c r="Z147" s="203"/>
      <c r="AA147" s="203"/>
      <c r="AB147" s="203"/>
      <c r="AC147" s="203"/>
      <c r="AD147" s="203"/>
      <c r="AE147" s="203"/>
      <c r="AF147" s="203"/>
      <c r="AG147" s="203"/>
      <c r="AH147" s="203"/>
      <c r="AI147" s="203"/>
      <c r="AJ147" s="203"/>
    </row>
    <row r="148" spans="1:36" s="31" customFormat="1">
      <c r="A148" s="131">
        <f>IF(F148&lt;&gt;"",1+MAX($A$2:A147),"")</f>
        <v>94</v>
      </c>
      <c r="B148" s="356"/>
      <c r="C148" s="134"/>
      <c r="D148" s="187" t="s">
        <v>174</v>
      </c>
      <c r="E148" s="185">
        <f>ROUNDUP(E146*16,0)</f>
        <v>1072</v>
      </c>
      <c r="F148" s="176">
        <v>0.05</v>
      </c>
      <c r="G148" s="177">
        <f t="shared" si="66"/>
        <v>1125.5999999999999</v>
      </c>
      <c r="H148" s="188" t="s">
        <v>71</v>
      </c>
      <c r="I148" s="148">
        <v>1.0999999999999999E-2</v>
      </c>
      <c r="J148" s="149">
        <f t="shared" si="67"/>
        <v>12.381600000000001</v>
      </c>
      <c r="K148" s="151">
        <f>'LABOR SHEET'!C$7</f>
        <v>83.49</v>
      </c>
      <c r="L148" s="150">
        <f t="shared" si="68"/>
        <v>0.91839000000000004</v>
      </c>
      <c r="M148" s="150">
        <f t="shared" si="69"/>
        <v>1033.7397840000001</v>
      </c>
      <c r="N148" s="198">
        <v>0.03</v>
      </c>
      <c r="O148" s="150">
        <f t="shared" si="70"/>
        <v>33.768000000000001</v>
      </c>
      <c r="P148" s="150">
        <f t="shared" si="71"/>
        <v>0.94838999999999996</v>
      </c>
      <c r="Q148" s="104">
        <f t="shared" si="72"/>
        <v>1067.5077839999999</v>
      </c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</row>
    <row r="149" spans="1:36" s="31" customFormat="1">
      <c r="A149" s="131">
        <f>IF(F149&lt;&gt;"",1+MAX($A$2:A148),"")</f>
        <v>95</v>
      </c>
      <c r="B149" s="356"/>
      <c r="C149" s="134"/>
      <c r="D149" s="187" t="s">
        <v>175</v>
      </c>
      <c r="E149" s="185">
        <f>E145*0.084</f>
        <v>178.08</v>
      </c>
      <c r="F149" s="135">
        <v>0.05</v>
      </c>
      <c r="G149" s="177">
        <f t="shared" si="66"/>
        <v>186.98400000000001</v>
      </c>
      <c r="H149" s="188" t="s">
        <v>176</v>
      </c>
      <c r="I149" s="148">
        <v>0.11</v>
      </c>
      <c r="J149" s="149">
        <f t="shared" si="67"/>
        <v>20.568239999999999</v>
      </c>
      <c r="K149" s="151">
        <f>'LABOR SHEET'!C$7</f>
        <v>83.49</v>
      </c>
      <c r="L149" s="150">
        <f t="shared" si="68"/>
        <v>9.1838999999999995</v>
      </c>
      <c r="M149" s="150">
        <f t="shared" si="69"/>
        <v>1717.2423576000001</v>
      </c>
      <c r="N149" s="150">
        <v>0.5</v>
      </c>
      <c r="O149" s="150">
        <f t="shared" si="70"/>
        <v>93.492000000000004</v>
      </c>
      <c r="P149" s="150">
        <f t="shared" si="71"/>
        <v>9.6838999999999995</v>
      </c>
      <c r="Q149" s="104">
        <f t="shared" si="72"/>
        <v>1810.7343576000001</v>
      </c>
      <c r="R149" s="203"/>
      <c r="S149" s="203"/>
      <c r="T149" s="203"/>
      <c r="U149" s="203"/>
      <c r="V149" s="203"/>
      <c r="W149" s="203"/>
      <c r="X149" s="203"/>
      <c r="Y149" s="203"/>
      <c r="Z149" s="203"/>
      <c r="AA149" s="203"/>
      <c r="AB149" s="203"/>
      <c r="AC149" s="203"/>
      <c r="AD149" s="203"/>
      <c r="AE149" s="203"/>
      <c r="AF149" s="203"/>
      <c r="AG149" s="203"/>
      <c r="AH149" s="203"/>
      <c r="AI149" s="203"/>
      <c r="AJ149" s="203"/>
    </row>
    <row r="150" spans="1:36" s="31" customFormat="1">
      <c r="A150" s="131">
        <f>IF(F150&lt;&gt;"",1+MAX($A$2:A149),"")</f>
        <v>96</v>
      </c>
      <c r="B150" s="356"/>
      <c r="C150" s="189"/>
      <c r="D150" s="184" t="s">
        <v>177</v>
      </c>
      <c r="E150" s="185">
        <f>10*204*2</f>
        <v>4080</v>
      </c>
      <c r="F150" s="176">
        <v>0.1</v>
      </c>
      <c r="G150" s="177">
        <f t="shared" si="66"/>
        <v>4488</v>
      </c>
      <c r="H150" s="186" t="s">
        <v>58</v>
      </c>
      <c r="I150" s="148">
        <v>2.1999999999999999E-2</v>
      </c>
      <c r="J150" s="149">
        <f t="shared" si="67"/>
        <v>98.736000000000004</v>
      </c>
      <c r="K150" s="151">
        <f>'LABOR SHEET'!C$7</f>
        <v>83.49</v>
      </c>
      <c r="L150" s="150">
        <f t="shared" si="68"/>
        <v>1.8367800000000001</v>
      </c>
      <c r="M150" s="150">
        <f t="shared" si="69"/>
        <v>8243.4686399999991</v>
      </c>
      <c r="N150" s="150">
        <v>2.3849999999999998</v>
      </c>
      <c r="O150" s="150">
        <f t="shared" si="70"/>
        <v>10703.88</v>
      </c>
      <c r="P150" s="150">
        <f t="shared" si="71"/>
        <v>4.2217799999999999</v>
      </c>
      <c r="Q150" s="104">
        <f t="shared" si="72"/>
        <v>18947.34864</v>
      </c>
      <c r="R150" s="203"/>
      <c r="S150" s="203"/>
      <c r="T150" s="203"/>
      <c r="U150" s="203"/>
      <c r="V150" s="203"/>
      <c r="W150" s="203"/>
      <c r="X150" s="203"/>
      <c r="Y150" s="203"/>
      <c r="Z150" s="203"/>
      <c r="AA150" s="203"/>
      <c r="AB150" s="203"/>
      <c r="AC150" s="203"/>
      <c r="AD150" s="203"/>
      <c r="AE150" s="203"/>
      <c r="AF150" s="203"/>
      <c r="AG150" s="203"/>
      <c r="AH150" s="203"/>
      <c r="AI150" s="203"/>
      <c r="AJ150" s="203"/>
    </row>
    <row r="151" spans="1:36" s="31" customFormat="1">
      <c r="A151" s="131">
        <f>IF(F151&lt;&gt;"",1+MAX($A$2:A150),"")</f>
        <v>97</v>
      </c>
      <c r="B151" s="356"/>
      <c r="C151" s="134"/>
      <c r="D151" s="187" t="s">
        <v>172</v>
      </c>
      <c r="E151" s="185">
        <f>ROUNDUP(E150/32,0)</f>
        <v>128</v>
      </c>
      <c r="F151" s="176">
        <v>0</v>
      </c>
      <c r="G151" s="177">
        <f t="shared" si="66"/>
        <v>128</v>
      </c>
      <c r="H151" s="188" t="s">
        <v>81</v>
      </c>
      <c r="I151" s="148"/>
      <c r="J151" s="149"/>
      <c r="K151" s="151"/>
      <c r="L151" s="150"/>
      <c r="M151" s="150"/>
      <c r="N151" s="150"/>
      <c r="O151" s="150"/>
      <c r="P151" s="150"/>
      <c r="Q151" s="104"/>
      <c r="R151" s="203"/>
      <c r="S151" s="203"/>
      <c r="T151" s="203"/>
      <c r="U151" s="203"/>
      <c r="V151" s="203"/>
      <c r="W151" s="203"/>
      <c r="X151" s="203"/>
      <c r="Y151" s="203"/>
      <c r="Z151" s="203"/>
      <c r="AA151" s="203"/>
      <c r="AB151" s="203"/>
      <c r="AC151" s="203"/>
      <c r="AD151" s="203"/>
      <c r="AE151" s="203"/>
      <c r="AF151" s="203"/>
      <c r="AG151" s="203"/>
      <c r="AH151" s="203"/>
      <c r="AI151" s="203"/>
      <c r="AJ151" s="203"/>
    </row>
    <row r="152" spans="1:36" s="31" customFormat="1">
      <c r="A152" s="131">
        <f>IF(F152&lt;&gt;"",1+MAX($A$2:A151),"")</f>
        <v>98</v>
      </c>
      <c r="B152" s="356"/>
      <c r="C152" s="134"/>
      <c r="D152" s="187" t="s">
        <v>173</v>
      </c>
      <c r="E152" s="185">
        <f>ROUNDUP(E150*1.33,0)</f>
        <v>5427</v>
      </c>
      <c r="F152" s="176">
        <v>0</v>
      </c>
      <c r="G152" s="177">
        <f t="shared" si="66"/>
        <v>5427</v>
      </c>
      <c r="H152" s="188" t="s">
        <v>81</v>
      </c>
      <c r="I152" s="148">
        <v>2E-3</v>
      </c>
      <c r="J152" s="149">
        <f t="shared" ref="J152:J154" si="73">+I152*G152</f>
        <v>10.853999999999999</v>
      </c>
      <c r="K152" s="151">
        <f>'LABOR SHEET'!C$7</f>
        <v>83.49</v>
      </c>
      <c r="L152" s="150">
        <f t="shared" ref="L152:L154" si="74">I152*K152</f>
        <v>0.16697999999999999</v>
      </c>
      <c r="M152" s="150">
        <f t="shared" ref="M152:M154" si="75">K152*J152</f>
        <v>906.20046000000002</v>
      </c>
      <c r="N152" s="198">
        <v>0.06</v>
      </c>
      <c r="O152" s="150">
        <f t="shared" ref="O152:O154" si="76">N152*G152</f>
        <v>325.62</v>
      </c>
      <c r="P152" s="150">
        <f t="shared" ref="P152:P154" si="77">(I152*K152)+N152</f>
        <v>0.22697999999999999</v>
      </c>
      <c r="Q152" s="104">
        <f t="shared" ref="Q152:Q154" si="78">P152*G152</f>
        <v>1231.8204599999999</v>
      </c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203"/>
      <c r="AG152" s="203"/>
      <c r="AH152" s="203"/>
      <c r="AI152" s="203"/>
      <c r="AJ152" s="203"/>
    </row>
    <row r="153" spans="1:36" s="31" customFormat="1">
      <c r="A153" s="131">
        <f>IF(F153&lt;&gt;"",1+MAX($A$2:A152),"")</f>
        <v>99</v>
      </c>
      <c r="B153" s="356"/>
      <c r="C153" s="134"/>
      <c r="D153" s="187" t="s">
        <v>174</v>
      </c>
      <c r="E153" s="185">
        <f>ROUNDUP(E151*16,0)</f>
        <v>2048</v>
      </c>
      <c r="F153" s="176">
        <v>0.05</v>
      </c>
      <c r="G153" s="177">
        <f t="shared" si="66"/>
        <v>2150.4</v>
      </c>
      <c r="H153" s="188" t="s">
        <v>71</v>
      </c>
      <c r="I153" s="148">
        <v>1.0999999999999999E-2</v>
      </c>
      <c r="J153" s="149">
        <f t="shared" si="73"/>
        <v>23.654399999999999</v>
      </c>
      <c r="K153" s="151">
        <f>'LABOR SHEET'!C$7</f>
        <v>83.49</v>
      </c>
      <c r="L153" s="150">
        <f t="shared" si="74"/>
        <v>0.91839000000000004</v>
      </c>
      <c r="M153" s="150">
        <f t="shared" si="75"/>
        <v>1974.9058560000001</v>
      </c>
      <c r="N153" s="198">
        <v>0.03</v>
      </c>
      <c r="O153" s="150">
        <f t="shared" si="76"/>
        <v>64.512</v>
      </c>
      <c r="P153" s="150">
        <f t="shared" si="77"/>
        <v>0.94838999999999996</v>
      </c>
      <c r="Q153" s="104">
        <f t="shared" si="78"/>
        <v>2039.417856</v>
      </c>
      <c r="R153" s="203"/>
      <c r="S153" s="203"/>
      <c r="T153" s="203"/>
      <c r="U153" s="203"/>
      <c r="V153" s="203"/>
      <c r="W153" s="203"/>
      <c r="X153" s="203"/>
      <c r="Y153" s="203"/>
      <c r="Z153" s="203"/>
      <c r="AA153" s="203"/>
      <c r="AB153" s="203"/>
      <c r="AC153" s="203"/>
      <c r="AD153" s="203"/>
      <c r="AE153" s="203"/>
      <c r="AF153" s="203"/>
      <c r="AG153" s="203"/>
      <c r="AH153" s="203"/>
      <c r="AI153" s="203"/>
      <c r="AJ153" s="203"/>
    </row>
    <row r="154" spans="1:36" s="31" customFormat="1">
      <c r="A154" s="131">
        <f>IF(F154&lt;&gt;"",1+MAX($A$2:A153),"")</f>
        <v>100</v>
      </c>
      <c r="B154" s="356"/>
      <c r="C154" s="134"/>
      <c r="D154" s="187" t="s">
        <v>175</v>
      </c>
      <c r="E154" s="185">
        <f>E150*0.084</f>
        <v>342.72</v>
      </c>
      <c r="F154" s="135">
        <v>0.05</v>
      </c>
      <c r="G154" s="177">
        <f t="shared" si="66"/>
        <v>359.85599999999999</v>
      </c>
      <c r="H154" s="188" t="s">
        <v>176</v>
      </c>
      <c r="I154" s="148">
        <v>0.11</v>
      </c>
      <c r="J154" s="149">
        <f t="shared" si="73"/>
        <v>39.584159999999997</v>
      </c>
      <c r="K154" s="151">
        <f>'LABOR SHEET'!C$7</f>
        <v>83.49</v>
      </c>
      <c r="L154" s="150">
        <f t="shared" si="74"/>
        <v>9.1838999999999995</v>
      </c>
      <c r="M154" s="150">
        <f t="shared" si="75"/>
        <v>3304.8815184</v>
      </c>
      <c r="N154" s="150">
        <v>0.5</v>
      </c>
      <c r="O154" s="150">
        <f t="shared" si="76"/>
        <v>179.928</v>
      </c>
      <c r="P154" s="150">
        <f t="shared" si="77"/>
        <v>9.6838999999999995</v>
      </c>
      <c r="Q154" s="104">
        <f t="shared" si="78"/>
        <v>3484.8095183999999</v>
      </c>
      <c r="R154" s="203"/>
      <c r="S154" s="203"/>
      <c r="T154" s="203"/>
      <c r="U154" s="203"/>
      <c r="V154" s="203"/>
      <c r="W154" s="203"/>
      <c r="X154" s="203"/>
      <c r="Y154" s="203"/>
      <c r="Z154" s="203"/>
      <c r="AA154" s="203"/>
      <c r="AB154" s="203"/>
      <c r="AC154" s="203"/>
      <c r="AD154" s="203"/>
      <c r="AE154" s="203"/>
      <c r="AF154" s="203"/>
      <c r="AG154" s="203"/>
      <c r="AH154" s="203"/>
      <c r="AI154" s="203"/>
      <c r="AJ154" s="203"/>
    </row>
    <row r="155" spans="1:36" s="31" customFormat="1">
      <c r="A155" s="131">
        <f>IF(F155&lt;&gt;"",1+MAX($A$2:A154),"")</f>
        <v>101</v>
      </c>
      <c r="B155" s="356"/>
      <c r="C155" s="134"/>
      <c r="D155" s="184" t="s">
        <v>178</v>
      </c>
      <c r="E155" s="185">
        <f>ROUNDUP(E144*1*(10),0)</f>
        <v>3100</v>
      </c>
      <c r="F155" s="176">
        <v>0.1</v>
      </c>
      <c r="G155" s="177">
        <f t="shared" si="66"/>
        <v>3410</v>
      </c>
      <c r="H155" s="186" t="s">
        <v>58</v>
      </c>
      <c r="I155" s="148">
        <v>0.01</v>
      </c>
      <c r="J155" s="149">
        <f t="shared" si="67"/>
        <v>34.1</v>
      </c>
      <c r="K155" s="151">
        <f>'LABOR SHEET'!C$7</f>
        <v>83.49</v>
      </c>
      <c r="L155" s="150">
        <f t="shared" si="68"/>
        <v>0.83489999999999998</v>
      </c>
      <c r="M155" s="150">
        <f t="shared" si="69"/>
        <v>2847.009</v>
      </c>
      <c r="N155" s="150">
        <v>0.8</v>
      </c>
      <c r="O155" s="150">
        <f t="shared" si="70"/>
        <v>2728</v>
      </c>
      <c r="P155" s="150">
        <f t="shared" si="71"/>
        <v>1.6349</v>
      </c>
      <c r="Q155" s="104">
        <f t="shared" si="72"/>
        <v>5575.009</v>
      </c>
      <c r="R155" s="203"/>
      <c r="S155" s="203"/>
      <c r="T155" s="203"/>
      <c r="U155" s="203"/>
      <c r="V155" s="203"/>
      <c r="W155" s="203"/>
      <c r="X155" s="203"/>
      <c r="Y155" s="203"/>
      <c r="Z155" s="203"/>
      <c r="AA155" s="203"/>
      <c r="AB155" s="203"/>
      <c r="AC155" s="203"/>
      <c r="AD155" s="203"/>
      <c r="AE155" s="203"/>
      <c r="AF155" s="203"/>
      <c r="AG155" s="203"/>
      <c r="AH155" s="203"/>
      <c r="AI155" s="203"/>
      <c r="AJ155" s="203"/>
    </row>
    <row r="156" spans="1:36" s="31" customFormat="1">
      <c r="A156" s="131">
        <f>IF(F156&lt;&gt;"",1+MAX($A$2:A155),"")</f>
        <v>102</v>
      </c>
      <c r="B156" s="356"/>
      <c r="C156" s="134"/>
      <c r="D156" s="184" t="s">
        <v>179</v>
      </c>
      <c r="E156" s="185">
        <f>ROUNDUP(E144*1*(10),0)/1.33</f>
        <v>2330.82706766917</v>
      </c>
      <c r="F156" s="176">
        <v>0.05</v>
      </c>
      <c r="G156" s="177">
        <f t="shared" si="66"/>
        <v>2447.3684210526299</v>
      </c>
      <c r="H156" s="186" t="s">
        <v>71</v>
      </c>
      <c r="I156" s="148">
        <v>0.03</v>
      </c>
      <c r="J156" s="149">
        <f t="shared" si="67"/>
        <v>73.421052631578902</v>
      </c>
      <c r="K156" s="151">
        <f>'LABOR SHEET'!C$7</f>
        <v>83.49</v>
      </c>
      <c r="L156" s="150">
        <f t="shared" si="68"/>
        <v>2.5047000000000001</v>
      </c>
      <c r="M156" s="150">
        <f t="shared" si="69"/>
        <v>6129.9236842105302</v>
      </c>
      <c r="N156" s="150">
        <v>1.68</v>
      </c>
      <c r="O156" s="150">
        <f t="shared" si="70"/>
        <v>4111.5789473684199</v>
      </c>
      <c r="P156" s="150">
        <f t="shared" si="71"/>
        <v>4.1847000000000003</v>
      </c>
      <c r="Q156" s="104">
        <f t="shared" si="72"/>
        <v>10241.5026315789</v>
      </c>
      <c r="R156" s="203"/>
      <c r="S156" s="203"/>
      <c r="T156" s="203"/>
      <c r="U156" s="203"/>
      <c r="V156" s="203"/>
      <c r="W156" s="203"/>
      <c r="X156" s="203"/>
      <c r="Y156" s="203"/>
      <c r="Z156" s="203"/>
      <c r="AA156" s="203"/>
      <c r="AB156" s="203"/>
      <c r="AC156" s="203"/>
      <c r="AD156" s="203"/>
      <c r="AE156" s="203"/>
      <c r="AF156" s="203"/>
      <c r="AG156" s="203"/>
      <c r="AH156" s="203"/>
      <c r="AI156" s="203"/>
      <c r="AJ156" s="203"/>
    </row>
    <row r="157" spans="1:36" s="31" customFormat="1">
      <c r="A157" s="131">
        <f>IF(F157&lt;&gt;"",1+MAX($A$2:A156),"")</f>
        <v>103</v>
      </c>
      <c r="B157" s="356"/>
      <c r="C157" s="134"/>
      <c r="D157" s="184" t="s">
        <v>180</v>
      </c>
      <c r="E157" s="185">
        <f>E144*2</f>
        <v>620</v>
      </c>
      <c r="F157" s="176">
        <v>0.05</v>
      </c>
      <c r="G157" s="177">
        <f t="shared" si="66"/>
        <v>651</v>
      </c>
      <c r="H157" s="186" t="s">
        <v>71</v>
      </c>
      <c r="I157" s="148">
        <v>0.03</v>
      </c>
      <c r="J157" s="149">
        <f t="shared" si="67"/>
        <v>19.53</v>
      </c>
      <c r="K157" s="151">
        <f>'LABOR SHEET'!C$7</f>
        <v>83.49</v>
      </c>
      <c r="L157" s="150">
        <f t="shared" si="68"/>
        <v>2.5047000000000001</v>
      </c>
      <c r="M157" s="150">
        <f t="shared" si="69"/>
        <v>1630.5597</v>
      </c>
      <c r="N157" s="150">
        <v>1.68</v>
      </c>
      <c r="O157" s="150">
        <f t="shared" si="70"/>
        <v>1093.68</v>
      </c>
      <c r="P157" s="150">
        <f t="shared" si="71"/>
        <v>4.1847000000000003</v>
      </c>
      <c r="Q157" s="104">
        <f t="shared" si="72"/>
        <v>2724.2397000000001</v>
      </c>
      <c r="R157" s="203"/>
      <c r="S157" s="203"/>
      <c r="T157" s="203"/>
      <c r="U157" s="203"/>
      <c r="V157" s="203"/>
      <c r="W157" s="203"/>
      <c r="X157" s="203"/>
      <c r="Y157" s="203"/>
      <c r="Z157" s="203"/>
      <c r="AA157" s="203"/>
      <c r="AB157" s="203"/>
      <c r="AC157" s="203"/>
      <c r="AD157" s="203"/>
      <c r="AE157" s="203"/>
      <c r="AF157" s="203"/>
      <c r="AG157" s="203"/>
      <c r="AH157" s="203"/>
      <c r="AI157" s="203"/>
      <c r="AJ157" s="203"/>
    </row>
    <row r="158" spans="1:36" s="31" customFormat="1">
      <c r="A158" s="131">
        <f>IF(F158&lt;&gt;"",1+MAX($A$2:A157),"")</f>
        <v>104</v>
      </c>
      <c r="B158" s="356"/>
      <c r="C158" s="134"/>
      <c r="D158" s="184" t="s">
        <v>181</v>
      </c>
      <c r="E158" s="185">
        <f>E144*4</f>
        <v>1240</v>
      </c>
      <c r="F158" s="176">
        <v>0.05</v>
      </c>
      <c r="G158" s="177">
        <f t="shared" si="66"/>
        <v>1302</v>
      </c>
      <c r="H158" s="186" t="s">
        <v>71</v>
      </c>
      <c r="I158" s="148">
        <v>0.01</v>
      </c>
      <c r="J158" s="149">
        <f t="shared" si="67"/>
        <v>13.02</v>
      </c>
      <c r="K158" s="151">
        <f>'LABOR SHEET'!C$7</f>
        <v>83.49</v>
      </c>
      <c r="L158" s="150">
        <f t="shared" si="68"/>
        <v>0.83489999999999998</v>
      </c>
      <c r="M158" s="150">
        <f t="shared" si="69"/>
        <v>1087.0398</v>
      </c>
      <c r="N158" s="150">
        <v>0.5</v>
      </c>
      <c r="O158" s="150">
        <f t="shared" si="70"/>
        <v>651</v>
      </c>
      <c r="P158" s="150">
        <f t="shared" si="71"/>
        <v>1.3349</v>
      </c>
      <c r="Q158" s="104">
        <f t="shared" si="72"/>
        <v>1738.0398</v>
      </c>
      <c r="R158" s="203"/>
      <c r="S158" s="203"/>
      <c r="T158" s="203"/>
      <c r="U158" s="203"/>
      <c r="V158" s="203"/>
      <c r="W158" s="203"/>
      <c r="X158" s="203"/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</row>
    <row r="159" spans="1:36" s="31" customFormat="1">
      <c r="A159" s="131" t="str">
        <f>IF(F159&lt;&gt;"",1+MAX($A$2:A158),"")</f>
        <v/>
      </c>
      <c r="B159" s="356"/>
      <c r="C159" s="134"/>
      <c r="D159" s="184"/>
      <c r="E159" s="185"/>
      <c r="F159" s="176"/>
      <c r="G159" s="177"/>
      <c r="H159" s="188"/>
      <c r="I159" s="148"/>
      <c r="J159" s="149"/>
      <c r="K159" s="151"/>
      <c r="L159" s="150"/>
      <c r="M159" s="150"/>
      <c r="N159" s="150"/>
      <c r="O159" s="150"/>
      <c r="P159" s="150"/>
      <c r="Q159" s="152"/>
      <c r="R159" s="203"/>
      <c r="S159" s="203"/>
      <c r="T159" s="203"/>
      <c r="U159" s="203"/>
      <c r="V159" s="203"/>
      <c r="W159" s="203"/>
      <c r="X159" s="203"/>
      <c r="Y159" s="203"/>
      <c r="Z159" s="203"/>
      <c r="AA159" s="203"/>
      <c r="AB159" s="203"/>
      <c r="AC159" s="203"/>
      <c r="AD159" s="203"/>
      <c r="AE159" s="203"/>
      <c r="AF159" s="203"/>
      <c r="AG159" s="203"/>
      <c r="AH159" s="203"/>
      <c r="AI159" s="203"/>
      <c r="AJ159" s="203"/>
    </row>
    <row r="160" spans="1:36" s="31" customFormat="1">
      <c r="A160" s="131" t="str">
        <f>IF(F160&lt;&gt;"",1+MAX($A$2:A159),"")</f>
        <v/>
      </c>
      <c r="B160" s="356"/>
      <c r="C160" s="134"/>
      <c r="D160" s="179" t="s">
        <v>182</v>
      </c>
      <c r="E160" s="180">
        <v>10</v>
      </c>
      <c r="F160" s="181"/>
      <c r="G160" s="182"/>
      <c r="H160" s="183" t="s">
        <v>71</v>
      </c>
      <c r="I160" s="148"/>
      <c r="J160" s="149"/>
      <c r="K160" s="151"/>
      <c r="L160" s="150"/>
      <c r="M160" s="150"/>
      <c r="N160" s="150"/>
      <c r="O160" s="150"/>
      <c r="P160" s="150"/>
      <c r="Q160" s="152"/>
      <c r="R160" s="203"/>
      <c r="S160" s="203"/>
      <c r="T160" s="203"/>
      <c r="U160" s="203"/>
      <c r="V160" s="203"/>
      <c r="W160" s="203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</row>
    <row r="161" spans="1:36" s="31" customFormat="1">
      <c r="A161" s="131">
        <f>IF(F161&lt;&gt;"",1+MAX($A$2:A160),"")</f>
        <v>105</v>
      </c>
      <c r="B161" s="356"/>
      <c r="C161" s="134"/>
      <c r="D161" s="184" t="s">
        <v>177</v>
      </c>
      <c r="E161" s="185">
        <f>10*10*2</f>
        <v>200</v>
      </c>
      <c r="F161" s="176">
        <v>0.1</v>
      </c>
      <c r="G161" s="177">
        <f t="shared" ref="G161:G169" si="79">E161*(1+F161)</f>
        <v>220</v>
      </c>
      <c r="H161" s="186" t="s">
        <v>58</v>
      </c>
      <c r="I161" s="148">
        <v>2.1999999999999999E-2</v>
      </c>
      <c r="J161" s="149">
        <f t="shared" ref="J161" si="80">+I161*G161</f>
        <v>4.84</v>
      </c>
      <c r="K161" s="151">
        <f>'LABOR SHEET'!C$7</f>
        <v>83.49</v>
      </c>
      <c r="L161" s="150">
        <f t="shared" ref="L161" si="81">I161*K161</f>
        <v>1.8367800000000001</v>
      </c>
      <c r="M161" s="150">
        <f t="shared" ref="M161" si="82">K161*J161</f>
        <v>404.09160000000003</v>
      </c>
      <c r="N161" s="150">
        <v>2.3849999999999998</v>
      </c>
      <c r="O161" s="150">
        <f t="shared" ref="O161" si="83">N161*G161</f>
        <v>524.70000000000005</v>
      </c>
      <c r="P161" s="150">
        <f t="shared" ref="P161" si="84">(I161*K161)+N161</f>
        <v>4.2217799999999999</v>
      </c>
      <c r="Q161" s="104">
        <f t="shared" ref="Q161" si="85">P161*G161</f>
        <v>928.79160000000002</v>
      </c>
      <c r="R161" s="203"/>
      <c r="S161" s="203"/>
      <c r="T161" s="203"/>
      <c r="U161" s="203"/>
      <c r="V161" s="203"/>
      <c r="W161" s="203"/>
      <c r="X161" s="203"/>
      <c r="Y161" s="203"/>
      <c r="Z161" s="203"/>
      <c r="AA161" s="203"/>
      <c r="AB161" s="203"/>
      <c r="AC161" s="203"/>
      <c r="AD161" s="203"/>
      <c r="AE161" s="203"/>
      <c r="AF161" s="203"/>
      <c r="AG161" s="203"/>
      <c r="AH161" s="203"/>
      <c r="AI161" s="203"/>
      <c r="AJ161" s="203"/>
    </row>
    <row r="162" spans="1:36" s="31" customFormat="1">
      <c r="A162" s="131">
        <f>IF(F162&lt;&gt;"",1+MAX($A$2:A161),"")</f>
        <v>106</v>
      </c>
      <c r="B162" s="356"/>
      <c r="C162" s="134"/>
      <c r="D162" s="187" t="s">
        <v>172</v>
      </c>
      <c r="E162" s="185">
        <f>ROUNDUP(E161/32,0)</f>
        <v>7</v>
      </c>
      <c r="F162" s="176">
        <v>0</v>
      </c>
      <c r="G162" s="177">
        <f t="shared" si="79"/>
        <v>7</v>
      </c>
      <c r="H162" s="188" t="s">
        <v>81</v>
      </c>
      <c r="I162" s="148"/>
      <c r="J162" s="149"/>
      <c r="K162" s="151"/>
      <c r="L162" s="150"/>
      <c r="M162" s="150"/>
      <c r="N162" s="150"/>
      <c r="O162" s="150"/>
      <c r="P162" s="150"/>
      <c r="Q162" s="104"/>
      <c r="R162" s="203"/>
      <c r="S162" s="203"/>
      <c r="T162" s="203"/>
      <c r="U162" s="203"/>
      <c r="V162" s="203"/>
      <c r="W162" s="203"/>
      <c r="X162" s="203"/>
      <c r="Y162" s="203"/>
      <c r="Z162" s="203"/>
      <c r="AA162" s="203"/>
      <c r="AB162" s="203"/>
      <c r="AC162" s="203"/>
      <c r="AD162" s="203"/>
      <c r="AE162" s="203"/>
      <c r="AF162" s="203"/>
      <c r="AG162" s="203"/>
      <c r="AH162" s="203"/>
      <c r="AI162" s="203"/>
      <c r="AJ162" s="203"/>
    </row>
    <row r="163" spans="1:36" s="31" customFormat="1">
      <c r="A163" s="131">
        <f>IF(F163&lt;&gt;"",1+MAX($A$2:A162),"")</f>
        <v>107</v>
      </c>
      <c r="B163" s="356"/>
      <c r="C163" s="134"/>
      <c r="D163" s="187" t="s">
        <v>173</v>
      </c>
      <c r="E163" s="185">
        <f>ROUNDUP(E161*1.33,0)</f>
        <v>266</v>
      </c>
      <c r="F163" s="176">
        <v>0</v>
      </c>
      <c r="G163" s="177">
        <f t="shared" si="79"/>
        <v>266</v>
      </c>
      <c r="H163" s="188" t="s">
        <v>81</v>
      </c>
      <c r="I163" s="148">
        <v>2E-3</v>
      </c>
      <c r="J163" s="149">
        <f t="shared" ref="J163:J166" si="86">+I163*G163</f>
        <v>0.53200000000000003</v>
      </c>
      <c r="K163" s="151">
        <f>'LABOR SHEET'!C$7</f>
        <v>83.49</v>
      </c>
      <c r="L163" s="150">
        <f t="shared" ref="L163:L166" si="87">I163*K163</f>
        <v>0.16697999999999999</v>
      </c>
      <c r="M163" s="150">
        <f t="shared" ref="M163:M166" si="88">K163*J163</f>
        <v>44.416679999999999</v>
      </c>
      <c r="N163" s="198">
        <v>0.06</v>
      </c>
      <c r="O163" s="150">
        <f t="shared" ref="O163:O166" si="89">N163*G163</f>
        <v>15.96</v>
      </c>
      <c r="P163" s="150">
        <f t="shared" ref="P163:P166" si="90">(I163*K163)+N163</f>
        <v>0.22697999999999999</v>
      </c>
      <c r="Q163" s="104">
        <f t="shared" ref="Q163:Q166" si="91">P163*G163</f>
        <v>60.37668</v>
      </c>
      <c r="R163" s="203"/>
      <c r="S163" s="203"/>
      <c r="T163" s="203"/>
      <c r="U163" s="203"/>
      <c r="V163" s="203"/>
      <c r="W163" s="203"/>
      <c r="X163" s="203"/>
      <c r="Y163" s="203"/>
      <c r="Z163" s="203"/>
      <c r="AA163" s="203"/>
      <c r="AB163" s="203"/>
      <c r="AC163" s="203"/>
      <c r="AD163" s="203"/>
      <c r="AE163" s="203"/>
      <c r="AF163" s="203"/>
      <c r="AG163" s="203"/>
      <c r="AH163" s="203"/>
      <c r="AI163" s="203"/>
      <c r="AJ163" s="203"/>
    </row>
    <row r="164" spans="1:36" s="31" customFormat="1">
      <c r="A164" s="131">
        <f>IF(F164&lt;&gt;"",1+MAX($A$2:A163),"")</f>
        <v>108</v>
      </c>
      <c r="B164" s="356"/>
      <c r="C164" s="134"/>
      <c r="D164" s="187" t="s">
        <v>174</v>
      </c>
      <c r="E164" s="185">
        <f>ROUNDUP(E162*16,0)</f>
        <v>112</v>
      </c>
      <c r="F164" s="176">
        <v>0.05</v>
      </c>
      <c r="G164" s="177">
        <f t="shared" si="79"/>
        <v>117.6</v>
      </c>
      <c r="H164" s="188" t="s">
        <v>71</v>
      </c>
      <c r="I164" s="148">
        <v>1.0999999999999999E-2</v>
      </c>
      <c r="J164" s="149">
        <f t="shared" si="86"/>
        <v>1.2936000000000001</v>
      </c>
      <c r="K164" s="151">
        <f>'LABOR SHEET'!C$7</f>
        <v>83.49</v>
      </c>
      <c r="L164" s="150">
        <f t="shared" si="87"/>
        <v>0.91839000000000004</v>
      </c>
      <c r="M164" s="150">
        <f t="shared" si="88"/>
        <v>108.002664</v>
      </c>
      <c r="N164" s="198">
        <v>0.03</v>
      </c>
      <c r="O164" s="150">
        <f t="shared" si="89"/>
        <v>3.528</v>
      </c>
      <c r="P164" s="150">
        <f t="shared" si="90"/>
        <v>0.94838999999999996</v>
      </c>
      <c r="Q164" s="104">
        <f t="shared" si="91"/>
        <v>111.530664</v>
      </c>
      <c r="R164" s="203"/>
      <c r="S164" s="203"/>
      <c r="T164" s="203"/>
      <c r="U164" s="203"/>
      <c r="V164" s="203"/>
      <c r="W164" s="203"/>
      <c r="X164" s="203"/>
      <c r="Y164" s="203"/>
      <c r="Z164" s="203"/>
      <c r="AA164" s="203"/>
      <c r="AB164" s="203"/>
      <c r="AC164" s="203"/>
      <c r="AD164" s="203"/>
      <c r="AE164" s="203"/>
      <c r="AF164" s="203"/>
      <c r="AG164" s="203"/>
      <c r="AH164" s="203"/>
      <c r="AI164" s="203"/>
      <c r="AJ164" s="203"/>
    </row>
    <row r="165" spans="1:36" s="31" customFormat="1">
      <c r="A165" s="131">
        <f>IF(F165&lt;&gt;"",1+MAX($A$2:A164),"")</f>
        <v>109</v>
      </c>
      <c r="B165" s="356"/>
      <c r="C165" s="134"/>
      <c r="D165" s="187" t="s">
        <v>175</v>
      </c>
      <c r="E165" s="185">
        <f>E161*0.084</f>
        <v>16.8</v>
      </c>
      <c r="F165" s="135">
        <v>0.05</v>
      </c>
      <c r="G165" s="177">
        <f t="shared" si="79"/>
        <v>17.64</v>
      </c>
      <c r="H165" s="188" t="s">
        <v>176</v>
      </c>
      <c r="I165" s="148">
        <v>0.11</v>
      </c>
      <c r="J165" s="149">
        <f t="shared" si="86"/>
        <v>1.9403999999999999</v>
      </c>
      <c r="K165" s="151">
        <f>'LABOR SHEET'!C$7</f>
        <v>83.49</v>
      </c>
      <c r="L165" s="150">
        <f t="shared" si="87"/>
        <v>9.1838999999999995</v>
      </c>
      <c r="M165" s="150">
        <f t="shared" si="88"/>
        <v>162.003996</v>
      </c>
      <c r="N165" s="150">
        <v>0.5</v>
      </c>
      <c r="O165" s="150">
        <f t="shared" si="89"/>
        <v>8.82</v>
      </c>
      <c r="P165" s="150">
        <f t="shared" si="90"/>
        <v>9.6838999999999995</v>
      </c>
      <c r="Q165" s="104">
        <f t="shared" si="91"/>
        <v>170.82399599999999</v>
      </c>
      <c r="R165" s="203"/>
      <c r="S165" s="203"/>
      <c r="T165" s="203"/>
      <c r="U165" s="203"/>
      <c r="V165" s="203"/>
      <c r="W165" s="203"/>
      <c r="X165" s="203"/>
      <c r="Y165" s="203"/>
      <c r="Z165" s="203"/>
      <c r="AA165" s="203"/>
      <c r="AB165" s="203"/>
      <c r="AC165" s="203"/>
      <c r="AD165" s="203"/>
      <c r="AE165" s="203"/>
      <c r="AF165" s="203"/>
      <c r="AG165" s="203"/>
      <c r="AH165" s="203"/>
      <c r="AI165" s="203"/>
      <c r="AJ165" s="203"/>
    </row>
    <row r="166" spans="1:36" s="31" customFormat="1">
      <c r="A166" s="131">
        <f>IF(F166&lt;&gt;"",1+MAX($A$2:A165),"")</f>
        <v>110</v>
      </c>
      <c r="B166" s="356"/>
      <c r="C166" s="134"/>
      <c r="D166" s="184" t="s">
        <v>178</v>
      </c>
      <c r="E166" s="185">
        <f>ROUNDUP(E160*1*(10),0)</f>
        <v>100</v>
      </c>
      <c r="F166" s="176">
        <v>0.1</v>
      </c>
      <c r="G166" s="177">
        <f t="shared" si="79"/>
        <v>110</v>
      </c>
      <c r="H166" s="186" t="s">
        <v>58</v>
      </c>
      <c r="I166" s="148">
        <v>0.01</v>
      </c>
      <c r="J166" s="149">
        <f t="shared" si="86"/>
        <v>1.1000000000000001</v>
      </c>
      <c r="K166" s="151">
        <f>'LABOR SHEET'!C$7</f>
        <v>83.49</v>
      </c>
      <c r="L166" s="150">
        <f t="shared" si="87"/>
        <v>0.83489999999999998</v>
      </c>
      <c r="M166" s="150">
        <f t="shared" si="88"/>
        <v>91.838999999999999</v>
      </c>
      <c r="N166" s="150">
        <v>0.8</v>
      </c>
      <c r="O166" s="150">
        <f t="shared" si="89"/>
        <v>88</v>
      </c>
      <c r="P166" s="150">
        <f t="shared" si="90"/>
        <v>1.6349</v>
      </c>
      <c r="Q166" s="104">
        <f t="shared" si="91"/>
        <v>179.839</v>
      </c>
      <c r="R166" s="203"/>
      <c r="S166" s="203"/>
      <c r="T166" s="203"/>
      <c r="U166" s="203"/>
      <c r="V166" s="203"/>
      <c r="W166" s="203"/>
      <c r="X166" s="203"/>
      <c r="Y166" s="203"/>
      <c r="Z166" s="203"/>
      <c r="AA166" s="203"/>
      <c r="AB166" s="203"/>
      <c r="AC166" s="203"/>
      <c r="AD166" s="203"/>
      <c r="AE166" s="203"/>
      <c r="AF166" s="203"/>
      <c r="AG166" s="203"/>
      <c r="AH166" s="203"/>
      <c r="AI166" s="203"/>
      <c r="AJ166" s="203"/>
    </row>
    <row r="167" spans="1:36" s="31" customFormat="1">
      <c r="A167" s="131">
        <f>IF(F167&lt;&gt;"",1+MAX($A$2:A166),"")</f>
        <v>111</v>
      </c>
      <c r="B167" s="356"/>
      <c r="C167" s="134"/>
      <c r="D167" s="184" t="s">
        <v>183</v>
      </c>
      <c r="E167" s="185">
        <f>ROUNDUP(E160*1*(10),0)/1.33</f>
        <v>75.187969924811995</v>
      </c>
      <c r="F167" s="176">
        <v>0.05</v>
      </c>
      <c r="G167" s="177">
        <f t="shared" si="79"/>
        <v>78.947368421052602</v>
      </c>
      <c r="H167" s="186" t="s">
        <v>71</v>
      </c>
      <c r="I167" s="148">
        <v>0.04</v>
      </c>
      <c r="J167" s="149">
        <f t="shared" ref="J167:J169" si="92">+I167*G167</f>
        <v>3.1578947368421102</v>
      </c>
      <c r="K167" s="151">
        <f>'LABOR SHEET'!C$7</f>
        <v>83.49</v>
      </c>
      <c r="L167" s="150">
        <f t="shared" ref="L167:L169" si="93">I167*K167</f>
        <v>3.3395999999999999</v>
      </c>
      <c r="M167" s="150">
        <f t="shared" ref="M167:M169" si="94">K167*J167</f>
        <v>263.65263157894702</v>
      </c>
      <c r="N167" s="150">
        <v>2.0499999999999998</v>
      </c>
      <c r="O167" s="150">
        <f t="shared" ref="O167:O169" si="95">N167*G167</f>
        <v>161.842105263158</v>
      </c>
      <c r="P167" s="150">
        <f t="shared" ref="P167:P169" si="96">(I167*K167)+N167</f>
        <v>5.3895999999999997</v>
      </c>
      <c r="Q167" s="104">
        <f t="shared" ref="Q167:Q169" si="97">P167*G167</f>
        <v>425.494736842105</v>
      </c>
      <c r="R167" s="203"/>
      <c r="S167" s="203"/>
      <c r="T167" s="203"/>
      <c r="U167" s="203"/>
      <c r="V167" s="203"/>
      <c r="W167" s="203"/>
      <c r="X167" s="203"/>
      <c r="Y167" s="203"/>
      <c r="Z167" s="203"/>
      <c r="AA167" s="203"/>
      <c r="AB167" s="203"/>
      <c r="AC167" s="203"/>
      <c r="AD167" s="203"/>
      <c r="AE167" s="203"/>
      <c r="AF167" s="203"/>
      <c r="AG167" s="203"/>
      <c r="AH167" s="203"/>
      <c r="AI167" s="203"/>
      <c r="AJ167" s="203"/>
    </row>
    <row r="168" spans="1:36" s="31" customFormat="1">
      <c r="A168" s="131">
        <f>IF(F168&lt;&gt;"",1+MAX($A$2:A167),"")</f>
        <v>112</v>
      </c>
      <c r="B168" s="356"/>
      <c r="C168" s="134"/>
      <c r="D168" s="184" t="s">
        <v>184</v>
      </c>
      <c r="E168" s="185">
        <f>E160*2</f>
        <v>20</v>
      </c>
      <c r="F168" s="176">
        <v>0.05</v>
      </c>
      <c r="G168" s="177">
        <f t="shared" si="79"/>
        <v>21</v>
      </c>
      <c r="H168" s="186" t="s">
        <v>71</v>
      </c>
      <c r="I168" s="148">
        <v>0.04</v>
      </c>
      <c r="J168" s="149">
        <f t="shared" si="92"/>
        <v>0.84</v>
      </c>
      <c r="K168" s="151">
        <f>'LABOR SHEET'!C$7</f>
        <v>83.49</v>
      </c>
      <c r="L168" s="150">
        <f t="shared" si="93"/>
        <v>3.3395999999999999</v>
      </c>
      <c r="M168" s="150">
        <f t="shared" si="94"/>
        <v>70.131600000000006</v>
      </c>
      <c r="N168" s="150">
        <v>2.0499999999999998</v>
      </c>
      <c r="O168" s="150">
        <f t="shared" si="95"/>
        <v>43.05</v>
      </c>
      <c r="P168" s="150">
        <f t="shared" si="96"/>
        <v>5.3895999999999997</v>
      </c>
      <c r="Q168" s="104">
        <f t="shared" si="97"/>
        <v>113.1816</v>
      </c>
      <c r="R168" s="203"/>
      <c r="S168" s="203"/>
      <c r="T168" s="203"/>
      <c r="U168" s="203"/>
      <c r="V168" s="203"/>
      <c r="W168" s="203"/>
      <c r="X168" s="203"/>
      <c r="Y168" s="203"/>
      <c r="Z168" s="203"/>
      <c r="AA168" s="203"/>
      <c r="AB168" s="203"/>
      <c r="AC168" s="203"/>
      <c r="AD168" s="203"/>
      <c r="AE168" s="203"/>
      <c r="AF168" s="203"/>
      <c r="AG168" s="203"/>
      <c r="AH168" s="203"/>
      <c r="AI168" s="203"/>
      <c r="AJ168" s="203"/>
    </row>
    <row r="169" spans="1:36" s="31" customFormat="1">
      <c r="A169" s="131">
        <f>IF(F169&lt;&gt;"",1+MAX($A$2:A168),"")</f>
        <v>113</v>
      </c>
      <c r="B169" s="356"/>
      <c r="C169" s="134"/>
      <c r="D169" s="184" t="s">
        <v>181</v>
      </c>
      <c r="E169" s="185">
        <f>E160*4</f>
        <v>40</v>
      </c>
      <c r="F169" s="176">
        <v>0.05</v>
      </c>
      <c r="G169" s="177">
        <f t="shared" si="79"/>
        <v>42</v>
      </c>
      <c r="H169" s="186" t="s">
        <v>71</v>
      </c>
      <c r="I169" s="148">
        <v>0.01</v>
      </c>
      <c r="J169" s="149">
        <f t="shared" si="92"/>
        <v>0.42</v>
      </c>
      <c r="K169" s="151">
        <f>'LABOR SHEET'!C$7</f>
        <v>83.49</v>
      </c>
      <c r="L169" s="150">
        <f t="shared" si="93"/>
        <v>0.83489999999999998</v>
      </c>
      <c r="M169" s="150">
        <f t="shared" si="94"/>
        <v>35.065800000000003</v>
      </c>
      <c r="N169" s="150">
        <v>0.5</v>
      </c>
      <c r="O169" s="150">
        <f t="shared" si="95"/>
        <v>21</v>
      </c>
      <c r="P169" s="150">
        <f t="shared" si="96"/>
        <v>1.3349</v>
      </c>
      <c r="Q169" s="104">
        <f t="shared" si="97"/>
        <v>56.065800000000003</v>
      </c>
      <c r="R169" s="203"/>
      <c r="S169" s="203"/>
      <c r="T169" s="203"/>
      <c r="U169" s="203"/>
      <c r="V169" s="203"/>
      <c r="W169" s="203"/>
      <c r="X169" s="203"/>
      <c r="Y169" s="203"/>
      <c r="Z169" s="203"/>
      <c r="AA169" s="203"/>
      <c r="AB169" s="203"/>
      <c r="AC169" s="203"/>
      <c r="AD169" s="203"/>
      <c r="AE169" s="203"/>
      <c r="AF169" s="203"/>
      <c r="AG169" s="203"/>
      <c r="AH169" s="203"/>
      <c r="AI169" s="203"/>
      <c r="AJ169" s="203"/>
    </row>
    <row r="170" spans="1:36" s="31" customFormat="1">
      <c r="A170" s="131" t="str">
        <f>IF(F170&lt;&gt;"",1+MAX($A$2:A169),"")</f>
        <v/>
      </c>
      <c r="B170" s="356"/>
      <c r="C170" s="134"/>
      <c r="D170" s="184"/>
      <c r="E170" s="185"/>
      <c r="F170" s="176"/>
      <c r="G170" s="177"/>
      <c r="H170" s="188"/>
      <c r="I170" s="148"/>
      <c r="J170" s="149"/>
      <c r="K170" s="151"/>
      <c r="L170" s="150"/>
      <c r="M170" s="150"/>
      <c r="N170" s="150"/>
      <c r="O170" s="150"/>
      <c r="P170" s="150"/>
      <c r="Q170" s="152"/>
      <c r="R170" s="203"/>
      <c r="S170" s="203"/>
      <c r="T170" s="203"/>
      <c r="U170" s="203"/>
      <c r="V170" s="203"/>
      <c r="W170" s="203"/>
      <c r="X170" s="203"/>
      <c r="Y170" s="203"/>
      <c r="Z170" s="203"/>
      <c r="AA170" s="203"/>
      <c r="AB170" s="203"/>
      <c r="AC170" s="203"/>
      <c r="AD170" s="203"/>
      <c r="AE170" s="203"/>
      <c r="AF170" s="203"/>
      <c r="AG170" s="203"/>
      <c r="AH170" s="203"/>
      <c r="AI170" s="203"/>
      <c r="AJ170" s="203"/>
    </row>
    <row r="171" spans="1:36" s="31" customFormat="1">
      <c r="A171" s="131" t="str">
        <f>IF(F171&lt;&gt;"",1+MAX($A$2:A170),"")</f>
        <v/>
      </c>
      <c r="B171" s="356"/>
      <c r="C171" s="134"/>
      <c r="D171" s="179" t="s">
        <v>185</v>
      </c>
      <c r="E171" s="180">
        <v>39.03</v>
      </c>
      <c r="F171" s="181"/>
      <c r="G171" s="182"/>
      <c r="H171" s="183" t="s">
        <v>71</v>
      </c>
      <c r="I171" s="148"/>
      <c r="J171" s="149"/>
      <c r="K171" s="151"/>
      <c r="L171" s="150"/>
      <c r="M171" s="150"/>
      <c r="N171" s="150"/>
      <c r="O171" s="150"/>
      <c r="P171" s="150"/>
      <c r="Q171" s="152"/>
      <c r="R171" s="203"/>
      <c r="S171" s="203"/>
      <c r="T171" s="203"/>
      <c r="U171" s="203"/>
      <c r="V171" s="203"/>
      <c r="W171" s="203"/>
      <c r="X171" s="203"/>
      <c r="Y171" s="203"/>
      <c r="Z171" s="203"/>
      <c r="AA171" s="203"/>
      <c r="AB171" s="203"/>
      <c r="AC171" s="203"/>
      <c r="AD171" s="203"/>
      <c r="AE171" s="203"/>
      <c r="AF171" s="203"/>
      <c r="AG171" s="203"/>
      <c r="AH171" s="203"/>
      <c r="AI171" s="203"/>
      <c r="AJ171" s="203"/>
    </row>
    <row r="172" spans="1:36" s="31" customFormat="1">
      <c r="A172" s="131">
        <f>IF(F172&lt;&gt;"",1+MAX($A$2:A171),"")</f>
        <v>114</v>
      </c>
      <c r="B172" s="356"/>
      <c r="C172" s="134"/>
      <c r="D172" s="184" t="s">
        <v>171</v>
      </c>
      <c r="E172" s="185">
        <f>10*27.61*2</f>
        <v>552.20000000000005</v>
      </c>
      <c r="F172" s="176">
        <v>0.1</v>
      </c>
      <c r="G172" s="177">
        <f t="shared" ref="G172:G185" si="98">E172*(1+F172)</f>
        <v>607.41999999999996</v>
      </c>
      <c r="H172" s="186" t="s">
        <v>58</v>
      </c>
      <c r="I172" s="148">
        <v>1.7999999999999999E-2</v>
      </c>
      <c r="J172" s="149">
        <f t="shared" ref="J172" si="99">+I172*G172</f>
        <v>10.93356</v>
      </c>
      <c r="K172" s="151">
        <f>'LABOR SHEET'!C$7</f>
        <v>83.49</v>
      </c>
      <c r="L172" s="150">
        <f t="shared" ref="L172" si="100">I172*K172</f>
        <v>1.50282</v>
      </c>
      <c r="M172" s="150">
        <f t="shared" ref="M172" si="101">K172*J172</f>
        <v>912.84292440000002</v>
      </c>
      <c r="N172" s="150">
        <v>0.56000000000000005</v>
      </c>
      <c r="O172" s="150">
        <f t="shared" ref="O172" si="102">N172*G172</f>
        <v>340.15519999999998</v>
      </c>
      <c r="P172" s="150">
        <f t="shared" ref="P172" si="103">(I172*K172)+N172</f>
        <v>2.0628199999999999</v>
      </c>
      <c r="Q172" s="104">
        <f t="shared" ref="Q172" si="104">P172*G172</f>
        <v>1252.9981244000001</v>
      </c>
      <c r="R172" s="203"/>
      <c r="S172" s="203"/>
      <c r="T172" s="203"/>
      <c r="U172" s="203"/>
      <c r="V172" s="203"/>
      <c r="W172" s="203"/>
      <c r="X172" s="203"/>
      <c r="Y172" s="203"/>
      <c r="Z172" s="203"/>
      <c r="AA172" s="203"/>
      <c r="AB172" s="203"/>
      <c r="AC172" s="203"/>
      <c r="AD172" s="203"/>
      <c r="AE172" s="203"/>
      <c r="AF172" s="203"/>
      <c r="AG172" s="203"/>
      <c r="AH172" s="203"/>
      <c r="AI172" s="203"/>
      <c r="AJ172" s="203"/>
    </row>
    <row r="173" spans="1:36" s="31" customFormat="1">
      <c r="A173" s="131">
        <f>IF(F173&lt;&gt;"",1+MAX($A$2:A172),"")</f>
        <v>115</v>
      </c>
      <c r="B173" s="356"/>
      <c r="C173" s="134"/>
      <c r="D173" s="187" t="s">
        <v>172</v>
      </c>
      <c r="E173" s="185">
        <f>ROUNDUP(E172/32,0)</f>
        <v>18</v>
      </c>
      <c r="F173" s="176">
        <v>0</v>
      </c>
      <c r="G173" s="177">
        <f t="shared" si="98"/>
        <v>18</v>
      </c>
      <c r="H173" s="188" t="s">
        <v>81</v>
      </c>
      <c r="I173" s="148"/>
      <c r="J173" s="149"/>
      <c r="K173" s="151"/>
      <c r="L173" s="150"/>
      <c r="M173" s="150"/>
      <c r="N173" s="150"/>
      <c r="O173" s="150"/>
      <c r="P173" s="150"/>
      <c r="Q173" s="104"/>
      <c r="R173" s="203"/>
      <c r="S173" s="203"/>
      <c r="T173" s="203"/>
      <c r="U173" s="203"/>
      <c r="V173" s="203"/>
      <c r="W173" s="203"/>
      <c r="X173" s="203"/>
      <c r="Y173" s="203"/>
      <c r="Z173" s="203"/>
      <c r="AA173" s="203"/>
      <c r="AB173" s="203"/>
      <c r="AC173" s="203"/>
      <c r="AD173" s="203"/>
      <c r="AE173" s="203"/>
      <c r="AF173" s="203"/>
      <c r="AG173" s="203"/>
      <c r="AH173" s="203"/>
      <c r="AI173" s="203"/>
      <c r="AJ173" s="203"/>
    </row>
    <row r="174" spans="1:36" s="31" customFormat="1">
      <c r="A174" s="131">
        <f>IF(F174&lt;&gt;"",1+MAX($A$2:A173),"")</f>
        <v>116</v>
      </c>
      <c r="B174" s="356"/>
      <c r="C174" s="134"/>
      <c r="D174" s="187" t="s">
        <v>173</v>
      </c>
      <c r="E174" s="185">
        <f>ROUNDUP(E172*1.33,0)</f>
        <v>735</v>
      </c>
      <c r="F174" s="176">
        <v>0</v>
      </c>
      <c r="G174" s="177">
        <f t="shared" si="98"/>
        <v>735</v>
      </c>
      <c r="H174" s="188" t="s">
        <v>81</v>
      </c>
      <c r="I174" s="148">
        <v>2E-3</v>
      </c>
      <c r="J174" s="149">
        <f t="shared" ref="J174:J177" si="105">+I174*G174</f>
        <v>1.47</v>
      </c>
      <c r="K174" s="151">
        <f>'LABOR SHEET'!C$7</f>
        <v>83.49</v>
      </c>
      <c r="L174" s="150">
        <f t="shared" ref="L174:L177" si="106">I174*K174</f>
        <v>0.16697999999999999</v>
      </c>
      <c r="M174" s="150">
        <f t="shared" ref="M174:M177" si="107">K174*J174</f>
        <v>122.7303</v>
      </c>
      <c r="N174" s="198">
        <v>0.06</v>
      </c>
      <c r="O174" s="150">
        <f t="shared" ref="O174:O177" si="108">N174*G174</f>
        <v>44.1</v>
      </c>
      <c r="P174" s="150">
        <f t="shared" ref="P174:P177" si="109">(I174*K174)+N174</f>
        <v>0.22697999999999999</v>
      </c>
      <c r="Q174" s="104">
        <f t="shared" ref="Q174:Q177" si="110">P174*G174</f>
        <v>166.83029999999999</v>
      </c>
      <c r="R174" s="203"/>
      <c r="S174" s="203"/>
      <c r="T174" s="203"/>
      <c r="U174" s="203"/>
      <c r="V174" s="203"/>
      <c r="W174" s="203"/>
      <c r="X174" s="203"/>
      <c r="Y174" s="203"/>
      <c r="Z174" s="203"/>
      <c r="AA174" s="203"/>
      <c r="AB174" s="203"/>
      <c r="AC174" s="203"/>
      <c r="AD174" s="203"/>
      <c r="AE174" s="203"/>
      <c r="AF174" s="203"/>
      <c r="AG174" s="203"/>
      <c r="AH174" s="203"/>
      <c r="AI174" s="203"/>
      <c r="AJ174" s="203"/>
    </row>
    <row r="175" spans="1:36" s="31" customFormat="1">
      <c r="A175" s="131">
        <f>IF(F175&lt;&gt;"",1+MAX($A$2:A174),"")</f>
        <v>117</v>
      </c>
      <c r="B175" s="356"/>
      <c r="C175" s="134"/>
      <c r="D175" s="187" t="s">
        <v>174</v>
      </c>
      <c r="E175" s="185">
        <f>ROUNDUP(E173*16,0)</f>
        <v>288</v>
      </c>
      <c r="F175" s="176">
        <v>0.05</v>
      </c>
      <c r="G175" s="177">
        <f t="shared" si="98"/>
        <v>302.39999999999998</v>
      </c>
      <c r="H175" s="188" t="s">
        <v>71</v>
      </c>
      <c r="I175" s="148">
        <v>1.0999999999999999E-2</v>
      </c>
      <c r="J175" s="149">
        <f t="shared" si="105"/>
        <v>3.3264</v>
      </c>
      <c r="K175" s="151">
        <f>'LABOR SHEET'!C$7</f>
        <v>83.49</v>
      </c>
      <c r="L175" s="150">
        <f t="shared" si="106"/>
        <v>0.91839000000000004</v>
      </c>
      <c r="M175" s="150">
        <f t="shared" si="107"/>
        <v>277.721136</v>
      </c>
      <c r="N175" s="198">
        <v>0.03</v>
      </c>
      <c r="O175" s="150">
        <f t="shared" si="108"/>
        <v>9.0719999999999992</v>
      </c>
      <c r="P175" s="150">
        <f t="shared" si="109"/>
        <v>0.94838999999999996</v>
      </c>
      <c r="Q175" s="104">
        <f t="shared" si="110"/>
        <v>286.793136</v>
      </c>
      <c r="R175" s="203"/>
      <c r="S175" s="203"/>
      <c r="T175" s="203"/>
      <c r="U175" s="203"/>
      <c r="V175" s="203"/>
      <c r="W175" s="203"/>
      <c r="X175" s="203"/>
      <c r="Y175" s="203"/>
      <c r="Z175" s="203"/>
      <c r="AA175" s="203"/>
      <c r="AB175" s="203"/>
      <c r="AC175" s="203"/>
      <c r="AD175" s="203"/>
      <c r="AE175" s="203"/>
      <c r="AF175" s="203"/>
      <c r="AG175" s="203"/>
      <c r="AH175" s="203"/>
      <c r="AI175" s="203"/>
      <c r="AJ175" s="203"/>
    </row>
    <row r="176" spans="1:36" s="31" customFormat="1">
      <c r="A176" s="131">
        <f>IF(F176&lt;&gt;"",1+MAX($A$2:A175),"")</f>
        <v>118</v>
      </c>
      <c r="B176" s="356"/>
      <c r="C176" s="134"/>
      <c r="D176" s="187" t="s">
        <v>175</v>
      </c>
      <c r="E176" s="185">
        <f>E172*0.084</f>
        <v>46.384799999999998</v>
      </c>
      <c r="F176" s="135">
        <v>0.05</v>
      </c>
      <c r="G176" s="177">
        <f t="shared" si="98"/>
        <v>48.704039999999999</v>
      </c>
      <c r="H176" s="188" t="s">
        <v>176</v>
      </c>
      <c r="I176" s="148">
        <v>0.11</v>
      </c>
      <c r="J176" s="149">
        <f t="shared" si="105"/>
        <v>5.3574444000000003</v>
      </c>
      <c r="K176" s="151">
        <f>'LABOR SHEET'!C$7</f>
        <v>83.49</v>
      </c>
      <c r="L176" s="150">
        <f t="shared" si="106"/>
        <v>9.1838999999999995</v>
      </c>
      <c r="M176" s="150">
        <f t="shared" si="107"/>
        <v>447.29303295599999</v>
      </c>
      <c r="N176" s="150">
        <v>0.5</v>
      </c>
      <c r="O176" s="150">
        <f t="shared" si="108"/>
        <v>24.35202</v>
      </c>
      <c r="P176" s="150">
        <f t="shared" si="109"/>
        <v>9.6838999999999995</v>
      </c>
      <c r="Q176" s="104">
        <f t="shared" si="110"/>
        <v>471.64505295599997</v>
      </c>
      <c r="R176" s="203"/>
      <c r="S176" s="203"/>
      <c r="T176" s="203"/>
      <c r="U176" s="203"/>
      <c r="V176" s="203"/>
      <c r="W176" s="203"/>
      <c r="X176" s="203"/>
      <c r="Y176" s="203"/>
      <c r="Z176" s="203"/>
      <c r="AA176" s="203"/>
      <c r="AB176" s="203"/>
      <c r="AC176" s="203"/>
      <c r="AD176" s="203"/>
      <c r="AE176" s="203"/>
      <c r="AF176" s="203"/>
      <c r="AG176" s="203"/>
      <c r="AH176" s="203"/>
      <c r="AI176" s="203"/>
      <c r="AJ176" s="203"/>
    </row>
    <row r="177" spans="1:36" s="31" customFormat="1">
      <c r="A177" s="131">
        <f>IF(F177&lt;&gt;"",1+MAX($A$2:A176),"")</f>
        <v>119</v>
      </c>
      <c r="B177" s="356"/>
      <c r="C177" s="134"/>
      <c r="D177" s="184" t="s">
        <v>177</v>
      </c>
      <c r="E177" s="185">
        <f>10*11.42*2</f>
        <v>228.4</v>
      </c>
      <c r="F177" s="176">
        <v>0.1</v>
      </c>
      <c r="G177" s="177">
        <f t="shared" si="98"/>
        <v>251.24</v>
      </c>
      <c r="H177" s="186" t="s">
        <v>58</v>
      </c>
      <c r="I177" s="148">
        <v>2.1999999999999999E-2</v>
      </c>
      <c r="J177" s="149">
        <f t="shared" si="105"/>
        <v>5.5272800000000002</v>
      </c>
      <c r="K177" s="151">
        <f>'LABOR SHEET'!C$7</f>
        <v>83.49</v>
      </c>
      <c r="L177" s="150">
        <f t="shared" si="106"/>
        <v>1.8367800000000001</v>
      </c>
      <c r="M177" s="150">
        <f t="shared" si="107"/>
        <v>461.47260720000003</v>
      </c>
      <c r="N177" s="150">
        <v>2.3849999999999998</v>
      </c>
      <c r="O177" s="150">
        <f t="shared" si="108"/>
        <v>599.20740000000001</v>
      </c>
      <c r="P177" s="150">
        <f t="shared" si="109"/>
        <v>4.2217799999999999</v>
      </c>
      <c r="Q177" s="104">
        <f t="shared" si="110"/>
        <v>1060.6800072000001</v>
      </c>
      <c r="R177" s="203"/>
      <c r="S177" s="203"/>
      <c r="T177" s="203"/>
      <c r="U177" s="203"/>
      <c r="V177" s="203"/>
      <c r="W177" s="203"/>
      <c r="X177" s="203"/>
      <c r="Y177" s="203"/>
      <c r="Z177" s="203"/>
      <c r="AA177" s="203"/>
      <c r="AB177" s="203"/>
      <c r="AC177" s="203"/>
      <c r="AD177" s="203"/>
      <c r="AE177" s="203"/>
      <c r="AF177" s="203"/>
      <c r="AG177" s="203"/>
      <c r="AH177" s="203"/>
      <c r="AI177" s="203"/>
      <c r="AJ177" s="203"/>
    </row>
    <row r="178" spans="1:36" s="31" customFormat="1">
      <c r="A178" s="131">
        <f>IF(F178&lt;&gt;"",1+MAX($A$2:A177),"")</f>
        <v>120</v>
      </c>
      <c r="B178" s="356"/>
      <c r="C178" s="134"/>
      <c r="D178" s="187" t="s">
        <v>172</v>
      </c>
      <c r="E178" s="185">
        <f>ROUNDUP(E177/32,0)</f>
        <v>8</v>
      </c>
      <c r="F178" s="176">
        <v>0</v>
      </c>
      <c r="G178" s="177">
        <f t="shared" si="98"/>
        <v>8</v>
      </c>
      <c r="H178" s="188" t="s">
        <v>81</v>
      </c>
      <c r="I178" s="148"/>
      <c r="J178" s="149"/>
      <c r="K178" s="151"/>
      <c r="L178" s="150"/>
      <c r="M178" s="150"/>
      <c r="N178" s="150"/>
      <c r="O178" s="150"/>
      <c r="P178" s="150"/>
      <c r="Q178" s="104"/>
      <c r="R178" s="203"/>
      <c r="S178" s="203"/>
      <c r="T178" s="203"/>
      <c r="U178" s="203"/>
      <c r="V178" s="203"/>
      <c r="W178" s="203"/>
      <c r="X178" s="203"/>
      <c r="Y178" s="203"/>
      <c r="Z178" s="203"/>
      <c r="AA178" s="203"/>
      <c r="AB178" s="203"/>
      <c r="AC178" s="203"/>
      <c r="AD178" s="203"/>
      <c r="AE178" s="203"/>
      <c r="AF178" s="203"/>
      <c r="AG178" s="203"/>
      <c r="AH178" s="203"/>
      <c r="AI178" s="203"/>
      <c r="AJ178" s="203"/>
    </row>
    <row r="179" spans="1:36" s="31" customFormat="1">
      <c r="A179" s="131">
        <f>IF(F179&lt;&gt;"",1+MAX($A$2:A178),"")</f>
        <v>121</v>
      </c>
      <c r="B179" s="356"/>
      <c r="C179" s="134"/>
      <c r="D179" s="187" t="s">
        <v>173</v>
      </c>
      <c r="E179" s="185">
        <f>ROUNDUP(E177*1.33,0)</f>
        <v>304</v>
      </c>
      <c r="F179" s="176">
        <v>0</v>
      </c>
      <c r="G179" s="177">
        <f t="shared" si="98"/>
        <v>304</v>
      </c>
      <c r="H179" s="188" t="s">
        <v>81</v>
      </c>
      <c r="I179" s="148">
        <v>2E-3</v>
      </c>
      <c r="J179" s="149">
        <f t="shared" ref="J179:J185" si="111">+I179*G179</f>
        <v>0.60799999999999998</v>
      </c>
      <c r="K179" s="151">
        <f>'LABOR SHEET'!C$7</f>
        <v>83.49</v>
      </c>
      <c r="L179" s="150">
        <f t="shared" ref="L179:L185" si="112">I179*K179</f>
        <v>0.16697999999999999</v>
      </c>
      <c r="M179" s="150">
        <f t="shared" ref="M179:M185" si="113">K179*J179</f>
        <v>50.761920000000003</v>
      </c>
      <c r="N179" s="198">
        <v>0.06</v>
      </c>
      <c r="O179" s="150">
        <f t="shared" ref="O179:O185" si="114">N179*G179</f>
        <v>18.239999999999998</v>
      </c>
      <c r="P179" s="150">
        <f t="shared" ref="P179:P185" si="115">(I179*K179)+N179</f>
        <v>0.22697999999999999</v>
      </c>
      <c r="Q179" s="104">
        <f t="shared" ref="Q179:Q185" si="116">P179*G179</f>
        <v>69.001919999999998</v>
      </c>
      <c r="R179" s="203"/>
      <c r="S179" s="203"/>
      <c r="T179" s="203"/>
      <c r="U179" s="203"/>
      <c r="V179" s="203"/>
      <c r="W179" s="203"/>
      <c r="X179" s="203"/>
      <c r="Y179" s="203"/>
      <c r="Z179" s="203"/>
      <c r="AA179" s="203"/>
      <c r="AB179" s="203"/>
      <c r="AC179" s="203"/>
      <c r="AD179" s="203"/>
      <c r="AE179" s="203"/>
      <c r="AF179" s="203"/>
      <c r="AG179" s="203"/>
      <c r="AH179" s="203"/>
      <c r="AI179" s="203"/>
      <c r="AJ179" s="203"/>
    </row>
    <row r="180" spans="1:36" s="31" customFormat="1">
      <c r="A180" s="131">
        <f>IF(F180&lt;&gt;"",1+MAX($A$2:A179),"")</f>
        <v>122</v>
      </c>
      <c r="B180" s="356"/>
      <c r="C180" s="134"/>
      <c r="D180" s="187" t="s">
        <v>174</v>
      </c>
      <c r="E180" s="185">
        <f>ROUNDUP(E178*16,0)</f>
        <v>128</v>
      </c>
      <c r="F180" s="176">
        <v>0.05</v>
      </c>
      <c r="G180" s="177">
        <f t="shared" si="98"/>
        <v>134.4</v>
      </c>
      <c r="H180" s="188" t="s">
        <v>71</v>
      </c>
      <c r="I180" s="148">
        <v>1.0999999999999999E-2</v>
      </c>
      <c r="J180" s="149">
        <f t="shared" si="111"/>
        <v>1.4783999999999999</v>
      </c>
      <c r="K180" s="151">
        <f>'LABOR SHEET'!C$7</f>
        <v>83.49</v>
      </c>
      <c r="L180" s="150">
        <f t="shared" si="112"/>
        <v>0.91839000000000004</v>
      </c>
      <c r="M180" s="150">
        <f t="shared" si="113"/>
        <v>123.43161600000001</v>
      </c>
      <c r="N180" s="198">
        <v>0.03</v>
      </c>
      <c r="O180" s="150">
        <f t="shared" si="114"/>
        <v>4.032</v>
      </c>
      <c r="P180" s="150">
        <f t="shared" si="115"/>
        <v>0.94838999999999996</v>
      </c>
      <c r="Q180" s="104">
        <f t="shared" si="116"/>
        <v>127.463616</v>
      </c>
      <c r="R180" s="203"/>
      <c r="S180" s="203"/>
      <c r="T180" s="203"/>
      <c r="U180" s="203"/>
      <c r="V180" s="203"/>
      <c r="W180" s="203"/>
      <c r="X180" s="203"/>
      <c r="Y180" s="203"/>
      <c r="Z180" s="203"/>
      <c r="AA180" s="203"/>
      <c r="AB180" s="203"/>
      <c r="AC180" s="203"/>
      <c r="AD180" s="203"/>
      <c r="AE180" s="203"/>
      <c r="AF180" s="203"/>
      <c r="AG180" s="203"/>
      <c r="AH180" s="203"/>
      <c r="AI180" s="203"/>
      <c r="AJ180" s="203"/>
    </row>
    <row r="181" spans="1:36" s="31" customFormat="1">
      <c r="A181" s="131">
        <f>IF(F181&lt;&gt;"",1+MAX($A$2:A180),"")</f>
        <v>123</v>
      </c>
      <c r="B181" s="356"/>
      <c r="C181" s="134"/>
      <c r="D181" s="187" t="s">
        <v>175</v>
      </c>
      <c r="E181" s="185">
        <f>E177*0.084</f>
        <v>19.185600000000001</v>
      </c>
      <c r="F181" s="135">
        <v>0.05</v>
      </c>
      <c r="G181" s="177">
        <f t="shared" si="98"/>
        <v>20.144880000000001</v>
      </c>
      <c r="H181" s="188" t="s">
        <v>176</v>
      </c>
      <c r="I181" s="148">
        <v>0.11</v>
      </c>
      <c r="J181" s="149">
        <f t="shared" si="111"/>
        <v>2.2159368000000002</v>
      </c>
      <c r="K181" s="151">
        <f>'LABOR SHEET'!C$7</f>
        <v>83.49</v>
      </c>
      <c r="L181" s="150">
        <f t="shared" si="112"/>
        <v>9.1838999999999995</v>
      </c>
      <c r="M181" s="150">
        <f t="shared" si="113"/>
        <v>185.00856343199999</v>
      </c>
      <c r="N181" s="150">
        <v>0.5</v>
      </c>
      <c r="O181" s="150">
        <f t="shared" si="114"/>
        <v>10.07244</v>
      </c>
      <c r="P181" s="150">
        <f t="shared" si="115"/>
        <v>9.6838999999999995</v>
      </c>
      <c r="Q181" s="104">
        <f t="shared" si="116"/>
        <v>195.08100343199999</v>
      </c>
      <c r="R181" s="203"/>
      <c r="S181" s="203"/>
      <c r="T181" s="203"/>
      <c r="U181" s="203"/>
      <c r="V181" s="203"/>
      <c r="W181" s="203"/>
      <c r="X181" s="203"/>
      <c r="Y181" s="203"/>
      <c r="Z181" s="203"/>
      <c r="AA181" s="203"/>
      <c r="AB181" s="203"/>
      <c r="AC181" s="203"/>
      <c r="AD181" s="203"/>
      <c r="AE181" s="203"/>
      <c r="AF181" s="203"/>
      <c r="AG181" s="203"/>
      <c r="AH181" s="203"/>
      <c r="AI181" s="203"/>
      <c r="AJ181" s="203"/>
    </row>
    <row r="182" spans="1:36" s="31" customFormat="1">
      <c r="A182" s="131">
        <f>IF(F182&lt;&gt;"",1+MAX($A$2:A181),"")</f>
        <v>124</v>
      </c>
      <c r="B182" s="356"/>
      <c r="C182" s="134"/>
      <c r="D182" s="184" t="s">
        <v>178</v>
      </c>
      <c r="E182" s="185">
        <f>ROUNDUP(11.42*1*(10),0)</f>
        <v>115</v>
      </c>
      <c r="F182" s="176">
        <v>0.1</v>
      </c>
      <c r="G182" s="177">
        <f t="shared" si="98"/>
        <v>126.5</v>
      </c>
      <c r="H182" s="186" t="s">
        <v>58</v>
      </c>
      <c r="I182" s="148">
        <v>0.01</v>
      </c>
      <c r="J182" s="149">
        <f t="shared" si="111"/>
        <v>1.2649999999999999</v>
      </c>
      <c r="K182" s="151">
        <f>'LABOR SHEET'!C$7</f>
        <v>83.49</v>
      </c>
      <c r="L182" s="150">
        <f t="shared" si="112"/>
        <v>0.83489999999999998</v>
      </c>
      <c r="M182" s="150">
        <f t="shared" si="113"/>
        <v>105.61485</v>
      </c>
      <c r="N182" s="150">
        <v>0.8</v>
      </c>
      <c r="O182" s="150">
        <f t="shared" si="114"/>
        <v>101.2</v>
      </c>
      <c r="P182" s="150">
        <f t="shared" si="115"/>
        <v>1.6349</v>
      </c>
      <c r="Q182" s="104">
        <f t="shared" si="116"/>
        <v>206.81485000000001</v>
      </c>
      <c r="R182" s="203"/>
      <c r="S182" s="203"/>
      <c r="T182" s="203"/>
      <c r="U182" s="203"/>
      <c r="V182" s="203"/>
      <c r="W182" s="203"/>
      <c r="X182" s="203"/>
      <c r="Y182" s="203"/>
      <c r="Z182" s="203"/>
      <c r="AA182" s="203"/>
      <c r="AB182" s="203"/>
      <c r="AC182" s="203"/>
      <c r="AD182" s="203"/>
      <c r="AE182" s="203"/>
      <c r="AF182" s="203"/>
      <c r="AG182" s="203"/>
      <c r="AH182" s="203"/>
      <c r="AI182" s="203"/>
      <c r="AJ182" s="203"/>
    </row>
    <row r="183" spans="1:36" s="31" customFormat="1">
      <c r="A183" s="131">
        <f>IF(F183&lt;&gt;"",1+MAX($A$2:A182),"")</f>
        <v>125</v>
      </c>
      <c r="B183" s="356"/>
      <c r="C183" s="134"/>
      <c r="D183" s="184" t="s">
        <v>179</v>
      </c>
      <c r="E183" s="185">
        <f>ROUNDUP(E171*1*(10),0)/1.33</f>
        <v>293.98496240601497</v>
      </c>
      <c r="F183" s="176">
        <v>0.05</v>
      </c>
      <c r="G183" s="177">
        <f t="shared" si="98"/>
        <v>308.68421052631601</v>
      </c>
      <c r="H183" s="186" t="s">
        <v>71</v>
      </c>
      <c r="I183" s="148">
        <v>0.03</v>
      </c>
      <c r="J183" s="149">
        <f t="shared" si="111"/>
        <v>9.2605263157894697</v>
      </c>
      <c r="K183" s="151">
        <f>'LABOR SHEET'!C$7</f>
        <v>83.49</v>
      </c>
      <c r="L183" s="150">
        <f t="shared" si="112"/>
        <v>2.5047000000000001</v>
      </c>
      <c r="M183" s="150">
        <f t="shared" si="113"/>
        <v>773.16134210526297</v>
      </c>
      <c r="N183" s="150">
        <v>1.68</v>
      </c>
      <c r="O183" s="150">
        <f t="shared" si="114"/>
        <v>518.58947368421002</v>
      </c>
      <c r="P183" s="150">
        <f t="shared" si="115"/>
        <v>4.1847000000000003</v>
      </c>
      <c r="Q183" s="104">
        <f t="shared" si="116"/>
        <v>1291.7508157894699</v>
      </c>
      <c r="R183" s="203"/>
      <c r="S183" s="203"/>
      <c r="T183" s="203"/>
      <c r="U183" s="203"/>
      <c r="V183" s="203"/>
      <c r="W183" s="203"/>
      <c r="X183" s="203"/>
      <c r="Y183" s="203"/>
      <c r="Z183" s="203"/>
      <c r="AA183" s="203"/>
      <c r="AB183" s="203"/>
      <c r="AC183" s="203"/>
      <c r="AD183" s="203"/>
      <c r="AE183" s="203"/>
      <c r="AF183" s="203"/>
      <c r="AG183" s="203"/>
      <c r="AH183" s="203"/>
      <c r="AI183" s="203"/>
      <c r="AJ183" s="203"/>
    </row>
    <row r="184" spans="1:36" s="31" customFormat="1">
      <c r="A184" s="131">
        <f>IF(F184&lt;&gt;"",1+MAX($A$2:A183),"")</f>
        <v>126</v>
      </c>
      <c r="B184" s="356"/>
      <c r="C184" s="134"/>
      <c r="D184" s="184" t="s">
        <v>180</v>
      </c>
      <c r="E184" s="185">
        <f>E171*2</f>
        <v>78.06</v>
      </c>
      <c r="F184" s="176">
        <v>0.05</v>
      </c>
      <c r="G184" s="177">
        <f t="shared" si="98"/>
        <v>81.962999999999994</v>
      </c>
      <c r="H184" s="186" t="s">
        <v>71</v>
      </c>
      <c r="I184" s="148">
        <v>0.03</v>
      </c>
      <c r="J184" s="149">
        <f t="shared" si="111"/>
        <v>2.4588899999999998</v>
      </c>
      <c r="K184" s="151">
        <f>'LABOR SHEET'!C$7</f>
        <v>83.49</v>
      </c>
      <c r="L184" s="150">
        <f t="shared" si="112"/>
        <v>2.5047000000000001</v>
      </c>
      <c r="M184" s="150">
        <f t="shared" si="113"/>
        <v>205.29272610000001</v>
      </c>
      <c r="N184" s="150">
        <v>1.68</v>
      </c>
      <c r="O184" s="150">
        <f t="shared" si="114"/>
        <v>137.69784000000001</v>
      </c>
      <c r="P184" s="150">
        <f t="shared" si="115"/>
        <v>4.1847000000000003</v>
      </c>
      <c r="Q184" s="104">
        <f t="shared" si="116"/>
        <v>342.99056610000002</v>
      </c>
      <c r="R184" s="203"/>
      <c r="S184" s="203"/>
      <c r="T184" s="203"/>
      <c r="U184" s="203"/>
      <c r="V184" s="203"/>
      <c r="W184" s="203"/>
      <c r="X184" s="203"/>
      <c r="Y184" s="203"/>
      <c r="Z184" s="203"/>
      <c r="AA184" s="203"/>
      <c r="AB184" s="203"/>
      <c r="AC184" s="203"/>
      <c r="AD184" s="203"/>
      <c r="AE184" s="203"/>
      <c r="AF184" s="203"/>
      <c r="AG184" s="203"/>
      <c r="AH184" s="203"/>
      <c r="AI184" s="203"/>
      <c r="AJ184" s="203"/>
    </row>
    <row r="185" spans="1:36" s="31" customFormat="1">
      <c r="A185" s="131">
        <f>IF(F185&lt;&gt;"",1+MAX($A$2:A184),"")</f>
        <v>127</v>
      </c>
      <c r="B185" s="356"/>
      <c r="C185" s="134"/>
      <c r="D185" s="184" t="s">
        <v>181</v>
      </c>
      <c r="E185" s="185">
        <f>E171*4</f>
        <v>156.12</v>
      </c>
      <c r="F185" s="176">
        <v>0.05</v>
      </c>
      <c r="G185" s="177">
        <f t="shared" si="98"/>
        <v>163.92599999999999</v>
      </c>
      <c r="H185" s="186" t="s">
        <v>71</v>
      </c>
      <c r="I185" s="148">
        <v>0.01</v>
      </c>
      <c r="J185" s="149">
        <f t="shared" si="111"/>
        <v>1.6392599999999999</v>
      </c>
      <c r="K185" s="151">
        <f>'LABOR SHEET'!C$7</f>
        <v>83.49</v>
      </c>
      <c r="L185" s="150">
        <f t="shared" si="112"/>
        <v>0.83489999999999998</v>
      </c>
      <c r="M185" s="150">
        <f t="shared" si="113"/>
        <v>136.86181740000001</v>
      </c>
      <c r="N185" s="150">
        <v>0.5</v>
      </c>
      <c r="O185" s="150">
        <f t="shared" si="114"/>
        <v>81.962999999999994</v>
      </c>
      <c r="P185" s="150">
        <f t="shared" si="115"/>
        <v>1.3349</v>
      </c>
      <c r="Q185" s="104">
        <f t="shared" si="116"/>
        <v>218.8248174</v>
      </c>
      <c r="R185" s="203"/>
      <c r="S185" s="203"/>
      <c r="T185" s="203"/>
      <c r="U185" s="203"/>
      <c r="V185" s="203"/>
      <c r="W185" s="203"/>
      <c r="X185" s="203"/>
      <c r="Y185" s="203"/>
      <c r="Z185" s="203"/>
      <c r="AA185" s="203"/>
      <c r="AB185" s="203"/>
      <c r="AC185" s="203"/>
      <c r="AD185" s="203"/>
      <c r="AE185" s="203"/>
      <c r="AF185" s="203"/>
      <c r="AG185" s="203"/>
      <c r="AH185" s="203"/>
      <c r="AI185" s="203"/>
      <c r="AJ185" s="203"/>
    </row>
    <row r="186" spans="1:36" s="31" customFormat="1">
      <c r="A186" s="131" t="str">
        <f>IF(F186&lt;&gt;"",1+MAX($A$2:A185),"")</f>
        <v/>
      </c>
      <c r="B186" s="356"/>
      <c r="C186" s="134"/>
      <c r="D186" s="184"/>
      <c r="E186" s="185"/>
      <c r="F186" s="176"/>
      <c r="G186" s="177"/>
      <c r="H186" s="188"/>
      <c r="I186" s="148"/>
      <c r="J186" s="149"/>
      <c r="K186" s="151"/>
      <c r="L186" s="150"/>
      <c r="M186" s="150"/>
      <c r="N186" s="150"/>
      <c r="O186" s="150"/>
      <c r="P186" s="150"/>
      <c r="Q186" s="152"/>
      <c r="R186" s="203"/>
      <c r="S186" s="203"/>
      <c r="T186" s="203"/>
      <c r="U186" s="203"/>
      <c r="V186" s="203"/>
      <c r="W186" s="203"/>
      <c r="X186" s="203"/>
      <c r="Y186" s="203"/>
      <c r="Z186" s="203"/>
      <c r="AA186" s="203"/>
      <c r="AB186" s="203"/>
      <c r="AC186" s="203"/>
      <c r="AD186" s="203"/>
      <c r="AE186" s="203"/>
      <c r="AF186" s="203"/>
      <c r="AG186" s="203"/>
      <c r="AH186" s="203"/>
      <c r="AI186" s="203"/>
      <c r="AJ186" s="203"/>
    </row>
    <row r="187" spans="1:36" s="31" customFormat="1">
      <c r="A187" s="131" t="str">
        <f>IF(F187&lt;&gt;"",1+MAX($A$2:A186),"")</f>
        <v/>
      </c>
      <c r="B187" s="356"/>
      <c r="C187" s="134"/>
      <c r="D187" s="179" t="s">
        <v>182</v>
      </c>
      <c r="E187" s="180">
        <v>16.25</v>
      </c>
      <c r="F187" s="181"/>
      <c r="G187" s="182"/>
      <c r="H187" s="183" t="s">
        <v>71</v>
      </c>
      <c r="I187" s="148"/>
      <c r="J187" s="149"/>
      <c r="K187" s="151"/>
      <c r="L187" s="150"/>
      <c r="M187" s="150"/>
      <c r="N187" s="150"/>
      <c r="O187" s="150"/>
      <c r="P187" s="150"/>
      <c r="Q187" s="152"/>
      <c r="R187" s="203"/>
      <c r="S187" s="203"/>
      <c r="T187" s="203"/>
      <c r="U187" s="203"/>
      <c r="V187" s="203"/>
      <c r="W187" s="203"/>
      <c r="X187" s="203"/>
      <c r="Y187" s="203"/>
      <c r="Z187" s="203"/>
      <c r="AA187" s="203"/>
      <c r="AB187" s="203"/>
      <c r="AC187" s="203"/>
      <c r="AD187" s="203"/>
      <c r="AE187" s="203"/>
      <c r="AF187" s="203"/>
      <c r="AG187" s="203"/>
      <c r="AH187" s="203"/>
      <c r="AI187" s="203"/>
      <c r="AJ187" s="203"/>
    </row>
    <row r="188" spans="1:36" s="31" customFormat="1">
      <c r="A188" s="131">
        <f>IF(F188&lt;&gt;"",1+MAX($A$2:A187),"")</f>
        <v>128</v>
      </c>
      <c r="B188" s="356"/>
      <c r="C188" s="134"/>
      <c r="D188" s="184" t="s">
        <v>177</v>
      </c>
      <c r="E188" s="185">
        <f>10*16.25*2</f>
        <v>325</v>
      </c>
      <c r="F188" s="176">
        <v>0.1</v>
      </c>
      <c r="G188" s="177">
        <f t="shared" ref="G188:G196" si="117">E188*(1+F188)</f>
        <v>357.5</v>
      </c>
      <c r="H188" s="186" t="s">
        <v>58</v>
      </c>
      <c r="I188" s="148">
        <v>1.7999999999999999E-2</v>
      </c>
      <c r="J188" s="149">
        <f t="shared" ref="J188" si="118">+I188*G188</f>
        <v>6.4349999999999996</v>
      </c>
      <c r="K188" s="151">
        <f>'LABOR SHEET'!C$7</f>
        <v>83.49</v>
      </c>
      <c r="L188" s="150">
        <f t="shared" ref="L188" si="119">I188*K188</f>
        <v>1.50282</v>
      </c>
      <c r="M188" s="150">
        <f t="shared" ref="M188" si="120">K188*J188</f>
        <v>537.25815</v>
      </c>
      <c r="N188" s="150">
        <v>0.56000000000000005</v>
      </c>
      <c r="O188" s="150">
        <f t="shared" ref="O188" si="121">N188*G188</f>
        <v>200.2</v>
      </c>
      <c r="P188" s="150">
        <f t="shared" ref="P188" si="122">(I188*K188)+N188</f>
        <v>2.0628199999999999</v>
      </c>
      <c r="Q188" s="104">
        <f t="shared" ref="Q188" si="123">P188*G188</f>
        <v>737.45815000000005</v>
      </c>
      <c r="R188" s="203"/>
      <c r="S188" s="203"/>
      <c r="T188" s="203"/>
      <c r="U188" s="203"/>
      <c r="V188" s="203"/>
      <c r="W188" s="203"/>
      <c r="X188" s="203"/>
      <c r="Y188" s="203"/>
      <c r="Z188" s="203"/>
      <c r="AA188" s="203"/>
      <c r="AB188" s="203"/>
      <c r="AC188" s="203"/>
      <c r="AD188" s="203"/>
      <c r="AE188" s="203"/>
      <c r="AF188" s="203"/>
      <c r="AG188" s="203"/>
      <c r="AH188" s="203"/>
      <c r="AI188" s="203"/>
      <c r="AJ188" s="203"/>
    </row>
    <row r="189" spans="1:36" s="31" customFormat="1">
      <c r="A189" s="131">
        <f>IF(F189&lt;&gt;"",1+MAX($A$2:A188),"")</f>
        <v>129</v>
      </c>
      <c r="B189" s="356"/>
      <c r="C189" s="134"/>
      <c r="D189" s="187" t="s">
        <v>172</v>
      </c>
      <c r="E189" s="185">
        <f>ROUNDUP(E188/32,0)</f>
        <v>11</v>
      </c>
      <c r="F189" s="176">
        <v>0</v>
      </c>
      <c r="G189" s="177">
        <f t="shared" si="117"/>
        <v>11</v>
      </c>
      <c r="H189" s="188" t="s">
        <v>81</v>
      </c>
      <c r="I189" s="148"/>
      <c r="J189" s="149"/>
      <c r="K189" s="151"/>
      <c r="L189" s="150"/>
      <c r="M189" s="150"/>
      <c r="N189" s="150"/>
      <c r="O189" s="150"/>
      <c r="P189" s="150"/>
      <c r="Q189" s="104"/>
      <c r="R189" s="203"/>
      <c r="S189" s="203"/>
      <c r="T189" s="203"/>
      <c r="U189" s="203"/>
      <c r="V189" s="203"/>
      <c r="W189" s="203"/>
      <c r="X189" s="203"/>
      <c r="Y189" s="203"/>
      <c r="Z189" s="203"/>
      <c r="AA189" s="203"/>
      <c r="AB189" s="203"/>
      <c r="AC189" s="203"/>
      <c r="AD189" s="203"/>
      <c r="AE189" s="203"/>
      <c r="AF189" s="203"/>
      <c r="AG189" s="203"/>
      <c r="AH189" s="203"/>
      <c r="AI189" s="203"/>
      <c r="AJ189" s="203"/>
    </row>
    <row r="190" spans="1:36" s="31" customFormat="1">
      <c r="A190" s="131">
        <f>IF(F190&lt;&gt;"",1+MAX($A$2:A189),"")</f>
        <v>130</v>
      </c>
      <c r="B190" s="356"/>
      <c r="C190" s="134"/>
      <c r="D190" s="187" t="s">
        <v>173</v>
      </c>
      <c r="E190" s="185">
        <f>ROUNDUP(E188*1.33,0)</f>
        <v>433</v>
      </c>
      <c r="F190" s="176">
        <v>0</v>
      </c>
      <c r="G190" s="177">
        <f t="shared" si="117"/>
        <v>433</v>
      </c>
      <c r="H190" s="188" t="s">
        <v>81</v>
      </c>
      <c r="I190" s="148">
        <v>2E-3</v>
      </c>
      <c r="J190" s="149">
        <f t="shared" ref="J190:J196" si="124">+I190*G190</f>
        <v>0.86599999999999999</v>
      </c>
      <c r="K190" s="151">
        <f>'LABOR SHEET'!C$7</f>
        <v>83.49</v>
      </c>
      <c r="L190" s="150">
        <f t="shared" ref="L190:L196" si="125">I190*K190</f>
        <v>0.16697999999999999</v>
      </c>
      <c r="M190" s="150">
        <f t="shared" ref="M190:M196" si="126">K190*J190</f>
        <v>72.302340000000001</v>
      </c>
      <c r="N190" s="198">
        <v>0.06</v>
      </c>
      <c r="O190" s="150">
        <f t="shared" ref="O190:O196" si="127">N190*G190</f>
        <v>25.98</v>
      </c>
      <c r="P190" s="150">
        <f t="shared" ref="P190:P196" si="128">(I190*K190)+N190</f>
        <v>0.22697999999999999</v>
      </c>
      <c r="Q190" s="104">
        <f t="shared" ref="Q190:Q196" si="129">P190*G190</f>
        <v>98.282340000000005</v>
      </c>
      <c r="R190" s="203"/>
      <c r="S190" s="203"/>
      <c r="T190" s="203"/>
      <c r="U190" s="203"/>
      <c r="V190" s="203"/>
      <c r="W190" s="203"/>
      <c r="X190" s="203"/>
      <c r="Y190" s="203"/>
      <c r="Z190" s="203"/>
      <c r="AA190" s="203"/>
      <c r="AB190" s="203"/>
      <c r="AC190" s="203"/>
      <c r="AD190" s="203"/>
      <c r="AE190" s="203"/>
      <c r="AF190" s="203"/>
      <c r="AG190" s="203"/>
      <c r="AH190" s="203"/>
      <c r="AI190" s="203"/>
      <c r="AJ190" s="203"/>
    </row>
    <row r="191" spans="1:36" s="31" customFormat="1">
      <c r="A191" s="131">
        <f>IF(F191&lt;&gt;"",1+MAX($A$2:A190),"")</f>
        <v>131</v>
      </c>
      <c r="B191" s="356"/>
      <c r="C191" s="134"/>
      <c r="D191" s="187" t="s">
        <v>174</v>
      </c>
      <c r="E191" s="185">
        <f>ROUNDUP(E189*16,0)</f>
        <v>176</v>
      </c>
      <c r="F191" s="176">
        <v>0.05</v>
      </c>
      <c r="G191" s="177">
        <f t="shared" si="117"/>
        <v>184.8</v>
      </c>
      <c r="H191" s="188" t="s">
        <v>71</v>
      </c>
      <c r="I191" s="148">
        <v>1.0999999999999999E-2</v>
      </c>
      <c r="J191" s="149">
        <f t="shared" si="124"/>
        <v>2.0327999999999999</v>
      </c>
      <c r="K191" s="151">
        <f>'LABOR SHEET'!C$7</f>
        <v>83.49</v>
      </c>
      <c r="L191" s="150">
        <f t="shared" si="125"/>
        <v>0.91839000000000004</v>
      </c>
      <c r="M191" s="150">
        <f t="shared" si="126"/>
        <v>169.71847199999999</v>
      </c>
      <c r="N191" s="198">
        <v>0.03</v>
      </c>
      <c r="O191" s="150">
        <f t="shared" si="127"/>
        <v>5.5439999999999996</v>
      </c>
      <c r="P191" s="150">
        <f t="shared" si="128"/>
        <v>0.94838999999999996</v>
      </c>
      <c r="Q191" s="104">
        <f t="shared" si="129"/>
        <v>175.262472</v>
      </c>
      <c r="R191" s="203"/>
      <c r="S191" s="203"/>
      <c r="T191" s="203"/>
      <c r="U191" s="203"/>
      <c r="V191" s="203"/>
      <c r="W191" s="203"/>
      <c r="X191" s="203"/>
      <c r="Y191" s="203"/>
      <c r="Z191" s="203"/>
      <c r="AA191" s="203"/>
      <c r="AB191" s="203"/>
      <c r="AC191" s="203"/>
      <c r="AD191" s="203"/>
      <c r="AE191" s="203"/>
      <c r="AF191" s="203"/>
      <c r="AG191" s="203"/>
      <c r="AH191" s="203"/>
      <c r="AI191" s="203"/>
      <c r="AJ191" s="203"/>
    </row>
    <row r="192" spans="1:36" s="31" customFormat="1">
      <c r="A192" s="131">
        <f>IF(F192&lt;&gt;"",1+MAX($A$2:A191),"")</f>
        <v>132</v>
      </c>
      <c r="B192" s="356"/>
      <c r="C192" s="134"/>
      <c r="D192" s="187" t="s">
        <v>175</v>
      </c>
      <c r="E192" s="185">
        <f>E188*0.084</f>
        <v>27.3</v>
      </c>
      <c r="F192" s="135">
        <v>0.05</v>
      </c>
      <c r="G192" s="177">
        <f t="shared" si="117"/>
        <v>28.664999999999999</v>
      </c>
      <c r="H192" s="188" t="s">
        <v>176</v>
      </c>
      <c r="I192" s="148">
        <v>0.11</v>
      </c>
      <c r="J192" s="149">
        <f t="shared" si="124"/>
        <v>3.1531500000000001</v>
      </c>
      <c r="K192" s="151">
        <f>'LABOR SHEET'!C$7</f>
        <v>83.49</v>
      </c>
      <c r="L192" s="150">
        <f t="shared" si="125"/>
        <v>9.1838999999999995</v>
      </c>
      <c r="M192" s="150">
        <f t="shared" si="126"/>
        <v>263.25649349999998</v>
      </c>
      <c r="N192" s="150">
        <v>0.5</v>
      </c>
      <c r="O192" s="150">
        <f t="shared" si="127"/>
        <v>14.3325</v>
      </c>
      <c r="P192" s="150">
        <f t="shared" si="128"/>
        <v>9.6838999999999995</v>
      </c>
      <c r="Q192" s="104">
        <f t="shared" si="129"/>
        <v>277.58899350000002</v>
      </c>
      <c r="R192" s="203"/>
      <c r="S192" s="203"/>
      <c r="T192" s="203"/>
      <c r="U192" s="203"/>
      <c r="V192" s="203"/>
      <c r="W192" s="203"/>
      <c r="X192" s="203"/>
      <c r="Y192" s="203"/>
      <c r="Z192" s="203"/>
      <c r="AA192" s="203"/>
      <c r="AB192" s="203"/>
      <c r="AC192" s="203"/>
      <c r="AD192" s="203"/>
      <c r="AE192" s="203"/>
      <c r="AF192" s="203"/>
      <c r="AG192" s="203"/>
      <c r="AH192" s="203"/>
      <c r="AI192" s="203"/>
      <c r="AJ192" s="203"/>
    </row>
    <row r="193" spans="1:36" s="31" customFormat="1">
      <c r="A193" s="131">
        <f>IF(F193&lt;&gt;"",1+MAX($A$2:A192),"")</f>
        <v>133</v>
      </c>
      <c r="B193" s="356"/>
      <c r="C193" s="134"/>
      <c r="D193" s="184" t="s">
        <v>178</v>
      </c>
      <c r="E193" s="185">
        <f>ROUNDUP(E187*1*(10),0)</f>
        <v>163</v>
      </c>
      <c r="F193" s="176">
        <v>0.1</v>
      </c>
      <c r="G193" s="177">
        <f t="shared" si="117"/>
        <v>179.3</v>
      </c>
      <c r="H193" s="186" t="s">
        <v>58</v>
      </c>
      <c r="I193" s="148">
        <v>0.01</v>
      </c>
      <c r="J193" s="149">
        <f t="shared" si="124"/>
        <v>1.7929999999999999</v>
      </c>
      <c r="K193" s="151">
        <f>'LABOR SHEET'!C$7</f>
        <v>83.49</v>
      </c>
      <c r="L193" s="150">
        <f t="shared" si="125"/>
        <v>0.83489999999999998</v>
      </c>
      <c r="M193" s="150">
        <f t="shared" si="126"/>
        <v>149.69757000000001</v>
      </c>
      <c r="N193" s="150">
        <v>0.8</v>
      </c>
      <c r="O193" s="150">
        <f t="shared" si="127"/>
        <v>143.44</v>
      </c>
      <c r="P193" s="150">
        <f t="shared" si="128"/>
        <v>1.6349</v>
      </c>
      <c r="Q193" s="104">
        <f t="shared" si="129"/>
        <v>293.13756999999998</v>
      </c>
      <c r="R193" s="203"/>
      <c r="S193" s="203"/>
      <c r="T193" s="203"/>
      <c r="U193" s="203"/>
      <c r="V193" s="203"/>
      <c r="W193" s="203"/>
      <c r="X193" s="203"/>
      <c r="Y193" s="203"/>
      <c r="Z193" s="203"/>
      <c r="AA193" s="203"/>
      <c r="AB193" s="203"/>
      <c r="AC193" s="203"/>
      <c r="AD193" s="203"/>
      <c r="AE193" s="203"/>
      <c r="AF193" s="203"/>
      <c r="AG193" s="203"/>
      <c r="AH193" s="203"/>
      <c r="AI193" s="203"/>
      <c r="AJ193" s="203"/>
    </row>
    <row r="194" spans="1:36" s="31" customFormat="1">
      <c r="A194" s="131">
        <f>IF(F194&lt;&gt;"",1+MAX($A$2:A193),"")</f>
        <v>134</v>
      </c>
      <c r="B194" s="356"/>
      <c r="C194" s="134"/>
      <c r="D194" s="184" t="s">
        <v>183</v>
      </c>
      <c r="E194" s="185">
        <f>ROUNDUP(E187*1*(10),0)/1.33</f>
        <v>122.556390977444</v>
      </c>
      <c r="F194" s="176">
        <v>0.05</v>
      </c>
      <c r="G194" s="177">
        <f t="shared" si="117"/>
        <v>128.68421052631601</v>
      </c>
      <c r="H194" s="186" t="s">
        <v>71</v>
      </c>
      <c r="I194" s="148">
        <v>0.04</v>
      </c>
      <c r="J194" s="149">
        <f t="shared" si="124"/>
        <v>5.1473684210526303</v>
      </c>
      <c r="K194" s="151">
        <f>'LABOR SHEET'!C$7</f>
        <v>83.49</v>
      </c>
      <c r="L194" s="150">
        <f t="shared" si="125"/>
        <v>3.3395999999999999</v>
      </c>
      <c r="M194" s="150">
        <f t="shared" si="126"/>
        <v>429.75378947368398</v>
      </c>
      <c r="N194" s="150">
        <v>2.0499999999999998</v>
      </c>
      <c r="O194" s="150">
        <f t="shared" si="127"/>
        <v>263.802631578947</v>
      </c>
      <c r="P194" s="150">
        <f t="shared" si="128"/>
        <v>5.3895999999999997</v>
      </c>
      <c r="Q194" s="104">
        <f t="shared" si="129"/>
        <v>693.556421052632</v>
      </c>
      <c r="R194" s="203"/>
      <c r="S194" s="203"/>
      <c r="T194" s="203"/>
      <c r="U194" s="203"/>
      <c r="V194" s="203"/>
      <c r="W194" s="203"/>
      <c r="X194" s="203"/>
      <c r="Y194" s="203"/>
      <c r="Z194" s="203"/>
      <c r="AA194" s="203"/>
      <c r="AB194" s="203"/>
      <c r="AC194" s="203"/>
      <c r="AD194" s="203"/>
      <c r="AE194" s="203"/>
      <c r="AF194" s="203"/>
      <c r="AG194" s="203"/>
      <c r="AH194" s="203"/>
      <c r="AI194" s="203"/>
      <c r="AJ194" s="203"/>
    </row>
    <row r="195" spans="1:36" s="31" customFormat="1">
      <c r="A195" s="131">
        <f>IF(F195&lt;&gt;"",1+MAX($A$2:A194),"")</f>
        <v>135</v>
      </c>
      <c r="B195" s="356"/>
      <c r="C195" s="134"/>
      <c r="D195" s="184" t="s">
        <v>184</v>
      </c>
      <c r="E195" s="185">
        <f>E187*2</f>
        <v>32.5</v>
      </c>
      <c r="F195" s="176">
        <v>0.05</v>
      </c>
      <c r="G195" s="177">
        <f t="shared" si="117"/>
        <v>34.125</v>
      </c>
      <c r="H195" s="186" t="s">
        <v>71</v>
      </c>
      <c r="I195" s="148">
        <v>0.04</v>
      </c>
      <c r="J195" s="149">
        <f t="shared" si="124"/>
        <v>1.365</v>
      </c>
      <c r="K195" s="151">
        <f>'LABOR SHEET'!C$7</f>
        <v>83.49</v>
      </c>
      <c r="L195" s="150">
        <f t="shared" si="125"/>
        <v>3.3395999999999999</v>
      </c>
      <c r="M195" s="150">
        <f t="shared" si="126"/>
        <v>113.96384999999999</v>
      </c>
      <c r="N195" s="150">
        <v>2.0499999999999998</v>
      </c>
      <c r="O195" s="150">
        <f t="shared" si="127"/>
        <v>69.956249999999997</v>
      </c>
      <c r="P195" s="150">
        <f t="shared" si="128"/>
        <v>5.3895999999999997</v>
      </c>
      <c r="Q195" s="104">
        <f t="shared" si="129"/>
        <v>183.92009999999999</v>
      </c>
      <c r="R195" s="203"/>
      <c r="S195" s="203"/>
      <c r="T195" s="203"/>
      <c r="U195" s="203"/>
      <c r="V195" s="203"/>
      <c r="W195" s="203"/>
      <c r="X195" s="203"/>
      <c r="Y195" s="203"/>
      <c r="Z195" s="203"/>
      <c r="AA195" s="203"/>
      <c r="AB195" s="203"/>
      <c r="AC195" s="203"/>
      <c r="AD195" s="203"/>
      <c r="AE195" s="203"/>
      <c r="AF195" s="203"/>
      <c r="AG195" s="203"/>
      <c r="AH195" s="203"/>
      <c r="AI195" s="203"/>
      <c r="AJ195" s="203"/>
    </row>
    <row r="196" spans="1:36" s="31" customFormat="1">
      <c r="A196" s="131">
        <f>IF(F196&lt;&gt;"",1+MAX($A$2:A195),"")</f>
        <v>136</v>
      </c>
      <c r="B196" s="356"/>
      <c r="C196" s="134"/>
      <c r="D196" s="184" t="s">
        <v>181</v>
      </c>
      <c r="E196" s="185">
        <f>E187*4</f>
        <v>65</v>
      </c>
      <c r="F196" s="176">
        <v>0.05</v>
      </c>
      <c r="G196" s="177">
        <f t="shared" si="117"/>
        <v>68.25</v>
      </c>
      <c r="H196" s="186" t="s">
        <v>71</v>
      </c>
      <c r="I196" s="148">
        <v>0.01</v>
      </c>
      <c r="J196" s="149">
        <f t="shared" si="124"/>
        <v>0.6825</v>
      </c>
      <c r="K196" s="151">
        <f>'LABOR SHEET'!C$7</f>
        <v>83.49</v>
      </c>
      <c r="L196" s="150">
        <f t="shared" si="125"/>
        <v>0.83489999999999998</v>
      </c>
      <c r="M196" s="150">
        <f t="shared" si="126"/>
        <v>56.981924999999997</v>
      </c>
      <c r="N196" s="150">
        <v>0.5</v>
      </c>
      <c r="O196" s="150">
        <f t="shared" si="127"/>
        <v>34.125</v>
      </c>
      <c r="P196" s="150">
        <f t="shared" si="128"/>
        <v>1.3349</v>
      </c>
      <c r="Q196" s="104">
        <f t="shared" si="129"/>
        <v>91.106925000000004</v>
      </c>
      <c r="R196" s="203"/>
      <c r="S196" s="203"/>
      <c r="T196" s="203"/>
      <c r="U196" s="203"/>
      <c r="V196" s="203"/>
      <c r="W196" s="203"/>
      <c r="X196" s="203"/>
      <c r="Y196" s="203"/>
      <c r="Z196" s="203"/>
      <c r="AA196" s="203"/>
      <c r="AB196" s="203"/>
      <c r="AC196" s="203"/>
      <c r="AD196" s="203"/>
      <c r="AE196" s="203"/>
      <c r="AF196" s="203"/>
      <c r="AG196" s="203"/>
      <c r="AH196" s="203"/>
      <c r="AI196" s="203"/>
      <c r="AJ196" s="203"/>
    </row>
    <row r="197" spans="1:36" s="31" customFormat="1">
      <c r="A197" s="131" t="str">
        <f>IF(F197&lt;&gt;"",1+MAX($A$2:A196),"")</f>
        <v/>
      </c>
      <c r="B197" s="356"/>
      <c r="C197" s="134"/>
      <c r="D197" s="184"/>
      <c r="E197" s="185"/>
      <c r="F197" s="176"/>
      <c r="G197" s="177"/>
      <c r="H197" s="188"/>
      <c r="I197" s="148"/>
      <c r="J197" s="149"/>
      <c r="K197" s="151"/>
      <c r="L197" s="150"/>
      <c r="M197" s="150"/>
      <c r="N197" s="150"/>
      <c r="O197" s="150"/>
      <c r="P197" s="150"/>
      <c r="Q197" s="152"/>
      <c r="R197" s="203"/>
      <c r="S197" s="203"/>
      <c r="T197" s="203"/>
      <c r="U197" s="203"/>
      <c r="V197" s="203"/>
      <c r="W197" s="203"/>
      <c r="X197" s="203"/>
      <c r="Y197" s="203"/>
      <c r="Z197" s="203"/>
      <c r="AA197" s="203"/>
      <c r="AB197" s="203"/>
      <c r="AC197" s="203"/>
      <c r="AD197" s="203"/>
      <c r="AE197" s="203"/>
      <c r="AF197" s="203"/>
      <c r="AG197" s="203"/>
      <c r="AH197" s="203"/>
      <c r="AI197" s="203"/>
      <c r="AJ197" s="203"/>
    </row>
    <row r="198" spans="1:36" s="31" customFormat="1">
      <c r="A198" s="131" t="str">
        <f>IF(F198&lt;&gt;"",1+MAX($A$2:A197),"")</f>
        <v/>
      </c>
      <c r="B198" s="356"/>
      <c r="C198" s="134"/>
      <c r="D198" s="179" t="s">
        <v>186</v>
      </c>
      <c r="E198" s="180">
        <v>71.650000000000006</v>
      </c>
      <c r="F198" s="181"/>
      <c r="G198" s="182"/>
      <c r="H198" s="183" t="s">
        <v>71</v>
      </c>
      <c r="I198" s="148"/>
      <c r="J198" s="149"/>
      <c r="K198" s="151"/>
      <c r="L198" s="150"/>
      <c r="M198" s="150"/>
      <c r="N198" s="150"/>
      <c r="O198" s="150"/>
      <c r="P198" s="150"/>
      <c r="Q198" s="152"/>
      <c r="R198" s="203"/>
      <c r="S198" s="203"/>
      <c r="T198" s="203"/>
      <c r="U198" s="203"/>
      <c r="V198" s="203"/>
      <c r="W198" s="203"/>
      <c r="X198" s="203"/>
      <c r="Y198" s="203"/>
      <c r="Z198" s="203"/>
      <c r="AA198" s="203"/>
      <c r="AB198" s="203"/>
      <c r="AC198" s="203"/>
      <c r="AD198" s="203"/>
      <c r="AE198" s="203"/>
      <c r="AF198" s="203"/>
      <c r="AG198" s="203"/>
      <c r="AH198" s="203"/>
      <c r="AI198" s="203"/>
      <c r="AJ198" s="203"/>
    </row>
    <row r="199" spans="1:36" s="31" customFormat="1">
      <c r="A199" s="131">
        <f>IF(F199&lt;&gt;"",1+MAX($A$2:A198),"")</f>
        <v>137</v>
      </c>
      <c r="B199" s="356"/>
      <c r="C199" s="134"/>
      <c r="D199" s="184" t="s">
        <v>171</v>
      </c>
      <c r="E199" s="185">
        <f>10*E198*2</f>
        <v>1433</v>
      </c>
      <c r="F199" s="176">
        <v>0.1</v>
      </c>
      <c r="G199" s="177">
        <f t="shared" ref="G199:G207" si="130">E199*(1+F199)</f>
        <v>1576.3</v>
      </c>
      <c r="H199" s="186" t="s">
        <v>58</v>
      </c>
      <c r="I199" s="148">
        <v>1.7999999999999999E-2</v>
      </c>
      <c r="J199" s="149">
        <f t="shared" ref="J199" si="131">+I199*G199</f>
        <v>28.3734</v>
      </c>
      <c r="K199" s="151">
        <f>'LABOR SHEET'!C$7</f>
        <v>83.49</v>
      </c>
      <c r="L199" s="150">
        <f t="shared" ref="L199" si="132">I199*K199</f>
        <v>1.50282</v>
      </c>
      <c r="M199" s="150">
        <f t="shared" ref="M199" si="133">K199*J199</f>
        <v>2368.8951659999998</v>
      </c>
      <c r="N199" s="150">
        <v>0.56000000000000005</v>
      </c>
      <c r="O199" s="150">
        <f t="shared" ref="O199" si="134">N199*G199</f>
        <v>882.72799999999995</v>
      </c>
      <c r="P199" s="150">
        <f t="shared" ref="P199" si="135">(I199*K199)+N199</f>
        <v>2.0628199999999999</v>
      </c>
      <c r="Q199" s="104">
        <f t="shared" ref="Q199" si="136">P199*G199</f>
        <v>3251.6231659999999</v>
      </c>
      <c r="R199" s="203"/>
      <c r="S199" s="203"/>
      <c r="T199" s="203"/>
      <c r="U199" s="203"/>
      <c r="V199" s="203"/>
      <c r="W199" s="203"/>
      <c r="X199" s="203"/>
      <c r="Y199" s="203"/>
      <c r="Z199" s="203"/>
      <c r="AA199" s="203"/>
      <c r="AB199" s="203"/>
      <c r="AC199" s="203"/>
      <c r="AD199" s="203"/>
      <c r="AE199" s="203"/>
      <c r="AF199" s="203"/>
      <c r="AG199" s="203"/>
      <c r="AH199" s="203"/>
      <c r="AI199" s="203"/>
      <c r="AJ199" s="203"/>
    </row>
    <row r="200" spans="1:36" s="31" customFormat="1">
      <c r="A200" s="131">
        <f>IF(F200&lt;&gt;"",1+MAX($A$2:A199),"")</f>
        <v>138</v>
      </c>
      <c r="B200" s="356"/>
      <c r="C200" s="134"/>
      <c r="D200" s="187" t="s">
        <v>172</v>
      </c>
      <c r="E200" s="185">
        <f>ROUNDUP(E199/32,0)</f>
        <v>45</v>
      </c>
      <c r="F200" s="176">
        <v>0</v>
      </c>
      <c r="G200" s="177">
        <f t="shared" si="130"/>
        <v>45</v>
      </c>
      <c r="H200" s="188" t="s">
        <v>81</v>
      </c>
      <c r="I200" s="148"/>
      <c r="J200" s="149"/>
      <c r="K200" s="151"/>
      <c r="L200" s="150"/>
      <c r="M200" s="150"/>
      <c r="N200" s="150"/>
      <c r="O200" s="150"/>
      <c r="P200" s="150"/>
      <c r="Q200" s="104"/>
      <c r="R200" s="203"/>
      <c r="S200" s="203"/>
      <c r="T200" s="203"/>
      <c r="U200" s="203"/>
      <c r="V200" s="203"/>
      <c r="W200" s="203"/>
      <c r="X200" s="203"/>
      <c r="Y200" s="203"/>
      <c r="Z200" s="203"/>
      <c r="AA200" s="203"/>
      <c r="AB200" s="203"/>
      <c r="AC200" s="203"/>
      <c r="AD200" s="203"/>
      <c r="AE200" s="203"/>
      <c r="AF200" s="203"/>
      <c r="AG200" s="203"/>
      <c r="AH200" s="203"/>
      <c r="AI200" s="203"/>
      <c r="AJ200" s="203"/>
    </row>
    <row r="201" spans="1:36" s="31" customFormat="1">
      <c r="A201" s="131">
        <f>IF(F201&lt;&gt;"",1+MAX($A$2:A200),"")</f>
        <v>139</v>
      </c>
      <c r="B201" s="356"/>
      <c r="C201" s="134"/>
      <c r="D201" s="187" t="s">
        <v>173</v>
      </c>
      <c r="E201" s="185">
        <f>ROUNDUP(E199*1.33,0)</f>
        <v>1906</v>
      </c>
      <c r="F201" s="176">
        <v>0</v>
      </c>
      <c r="G201" s="177">
        <f t="shared" si="130"/>
        <v>1906</v>
      </c>
      <c r="H201" s="188" t="s">
        <v>81</v>
      </c>
      <c r="I201" s="148">
        <v>2E-3</v>
      </c>
      <c r="J201" s="149">
        <f t="shared" ref="J201:J204" si="137">+I201*G201</f>
        <v>3.8119999999999998</v>
      </c>
      <c r="K201" s="151">
        <f>'LABOR SHEET'!C$7</f>
        <v>83.49</v>
      </c>
      <c r="L201" s="150">
        <f t="shared" ref="L201:L204" si="138">I201*K201</f>
        <v>0.16697999999999999</v>
      </c>
      <c r="M201" s="150">
        <f t="shared" ref="M201:M204" si="139">K201*J201</f>
        <v>318.26387999999997</v>
      </c>
      <c r="N201" s="198">
        <v>0.06</v>
      </c>
      <c r="O201" s="150">
        <f t="shared" ref="O201:O204" si="140">N201*G201</f>
        <v>114.36</v>
      </c>
      <c r="P201" s="150">
        <f t="shared" ref="P201:P204" si="141">(I201*K201)+N201</f>
        <v>0.22697999999999999</v>
      </c>
      <c r="Q201" s="104">
        <f t="shared" ref="Q201:Q204" si="142">P201*G201</f>
        <v>432.62387999999999</v>
      </c>
      <c r="R201" s="203"/>
      <c r="S201" s="203"/>
      <c r="T201" s="203"/>
      <c r="U201" s="203"/>
      <c r="V201" s="203"/>
      <c r="W201" s="203"/>
      <c r="X201" s="203"/>
      <c r="Y201" s="203"/>
      <c r="Z201" s="203"/>
      <c r="AA201" s="203"/>
      <c r="AB201" s="203"/>
      <c r="AC201" s="203"/>
      <c r="AD201" s="203"/>
      <c r="AE201" s="203"/>
      <c r="AF201" s="203"/>
      <c r="AG201" s="203"/>
      <c r="AH201" s="203"/>
      <c r="AI201" s="203"/>
      <c r="AJ201" s="203"/>
    </row>
    <row r="202" spans="1:36" s="31" customFormat="1">
      <c r="A202" s="131">
        <f>IF(F202&lt;&gt;"",1+MAX($A$2:A201),"")</f>
        <v>140</v>
      </c>
      <c r="B202" s="356"/>
      <c r="C202" s="134"/>
      <c r="D202" s="187" t="s">
        <v>174</v>
      </c>
      <c r="E202" s="185">
        <f>ROUNDUP(E200*16,0)</f>
        <v>720</v>
      </c>
      <c r="F202" s="176">
        <v>0.05</v>
      </c>
      <c r="G202" s="177">
        <f t="shared" si="130"/>
        <v>756</v>
      </c>
      <c r="H202" s="188" t="s">
        <v>71</v>
      </c>
      <c r="I202" s="148">
        <v>1.0999999999999999E-2</v>
      </c>
      <c r="J202" s="149">
        <f t="shared" si="137"/>
        <v>8.3160000000000007</v>
      </c>
      <c r="K202" s="151">
        <f>'LABOR SHEET'!C$7</f>
        <v>83.49</v>
      </c>
      <c r="L202" s="150">
        <f t="shared" si="138"/>
        <v>0.91839000000000004</v>
      </c>
      <c r="M202" s="150">
        <f t="shared" si="139"/>
        <v>694.30283999999995</v>
      </c>
      <c r="N202" s="198">
        <v>0.03</v>
      </c>
      <c r="O202" s="150">
        <f t="shared" si="140"/>
        <v>22.68</v>
      </c>
      <c r="P202" s="150">
        <f t="shared" si="141"/>
        <v>0.94838999999999996</v>
      </c>
      <c r="Q202" s="104">
        <f t="shared" si="142"/>
        <v>716.98284000000001</v>
      </c>
      <c r="R202" s="203"/>
      <c r="S202" s="203"/>
      <c r="T202" s="203"/>
      <c r="U202" s="203"/>
      <c r="V202" s="203"/>
      <c r="W202" s="203"/>
      <c r="X202" s="203"/>
      <c r="Y202" s="203"/>
      <c r="Z202" s="203"/>
      <c r="AA202" s="203"/>
      <c r="AB202" s="203"/>
      <c r="AC202" s="203"/>
      <c r="AD202" s="203"/>
      <c r="AE202" s="203"/>
      <c r="AF202" s="203"/>
      <c r="AG202" s="203"/>
      <c r="AH202" s="203"/>
      <c r="AI202" s="203"/>
      <c r="AJ202" s="203"/>
    </row>
    <row r="203" spans="1:36" s="31" customFormat="1">
      <c r="A203" s="131">
        <f>IF(F203&lt;&gt;"",1+MAX($A$2:A202),"")</f>
        <v>141</v>
      </c>
      <c r="B203" s="356"/>
      <c r="C203" s="134"/>
      <c r="D203" s="187" t="s">
        <v>175</v>
      </c>
      <c r="E203" s="185">
        <f>E199*0.084</f>
        <v>120.372</v>
      </c>
      <c r="F203" s="135">
        <v>0.05</v>
      </c>
      <c r="G203" s="177">
        <f t="shared" si="130"/>
        <v>126.39060000000001</v>
      </c>
      <c r="H203" s="188" t="s">
        <v>176</v>
      </c>
      <c r="I203" s="148">
        <v>0.11</v>
      </c>
      <c r="J203" s="149">
        <f t="shared" si="137"/>
        <v>13.902965999999999</v>
      </c>
      <c r="K203" s="151">
        <f>'LABOR SHEET'!C$7</f>
        <v>83.49</v>
      </c>
      <c r="L203" s="150">
        <f t="shared" si="138"/>
        <v>9.1838999999999995</v>
      </c>
      <c r="M203" s="150">
        <f t="shared" si="139"/>
        <v>1160.75863134</v>
      </c>
      <c r="N203" s="150">
        <v>0.5</v>
      </c>
      <c r="O203" s="150">
        <f t="shared" si="140"/>
        <v>63.195300000000003</v>
      </c>
      <c r="P203" s="150">
        <f t="shared" si="141"/>
        <v>9.6838999999999995</v>
      </c>
      <c r="Q203" s="104">
        <f t="shared" si="142"/>
        <v>1223.9539313400001</v>
      </c>
      <c r="R203" s="203"/>
      <c r="S203" s="203"/>
      <c r="T203" s="203"/>
      <c r="U203" s="203"/>
      <c r="V203" s="203"/>
      <c r="W203" s="203"/>
      <c r="X203" s="203"/>
      <c r="Y203" s="203"/>
      <c r="Z203" s="203"/>
      <c r="AA203" s="203"/>
      <c r="AB203" s="203"/>
      <c r="AC203" s="203"/>
      <c r="AD203" s="203"/>
      <c r="AE203" s="203"/>
      <c r="AF203" s="203"/>
      <c r="AG203" s="203"/>
      <c r="AH203" s="203"/>
      <c r="AI203" s="203"/>
      <c r="AJ203" s="203"/>
    </row>
    <row r="204" spans="1:36" s="31" customFormat="1">
      <c r="A204" s="131">
        <f>IF(F204&lt;&gt;"",1+MAX($A$2:A203),"")</f>
        <v>142</v>
      </c>
      <c r="B204" s="356"/>
      <c r="C204" s="134"/>
      <c r="D204" s="184" t="s">
        <v>178</v>
      </c>
      <c r="E204" s="185">
        <f>ROUNDUP(22.45*1*(10),0)</f>
        <v>225</v>
      </c>
      <c r="F204" s="176">
        <v>0.1</v>
      </c>
      <c r="G204" s="177">
        <f t="shared" si="130"/>
        <v>247.5</v>
      </c>
      <c r="H204" s="186" t="s">
        <v>58</v>
      </c>
      <c r="I204" s="148">
        <v>0.01</v>
      </c>
      <c r="J204" s="149">
        <f t="shared" si="137"/>
        <v>2.4750000000000001</v>
      </c>
      <c r="K204" s="151">
        <f>'LABOR SHEET'!C$7</f>
        <v>83.49</v>
      </c>
      <c r="L204" s="150">
        <f t="shared" si="138"/>
        <v>0.83489999999999998</v>
      </c>
      <c r="M204" s="150">
        <f t="shared" si="139"/>
        <v>206.63775000000001</v>
      </c>
      <c r="N204" s="150">
        <v>0.8</v>
      </c>
      <c r="O204" s="150">
        <f t="shared" si="140"/>
        <v>198</v>
      </c>
      <c r="P204" s="150">
        <f t="shared" si="141"/>
        <v>1.6349</v>
      </c>
      <c r="Q204" s="104">
        <f t="shared" si="142"/>
        <v>404.63774999999998</v>
      </c>
      <c r="R204" s="203"/>
      <c r="S204" s="203"/>
      <c r="T204" s="203"/>
      <c r="U204" s="203"/>
      <c r="V204" s="203"/>
      <c r="W204" s="203"/>
      <c r="X204" s="203"/>
      <c r="Y204" s="203"/>
      <c r="Z204" s="203"/>
      <c r="AA204" s="203"/>
      <c r="AB204" s="203"/>
      <c r="AC204" s="203"/>
      <c r="AD204" s="203"/>
      <c r="AE204" s="203"/>
      <c r="AF204" s="203"/>
      <c r="AG204" s="203"/>
      <c r="AH204" s="203"/>
      <c r="AI204" s="203"/>
      <c r="AJ204" s="203"/>
    </row>
    <row r="205" spans="1:36" s="31" customFormat="1">
      <c r="A205" s="131">
        <f>IF(F205&lt;&gt;"",1+MAX($A$2:A204),"")</f>
        <v>143</v>
      </c>
      <c r="B205" s="356"/>
      <c r="C205" s="134"/>
      <c r="D205" s="184" t="s">
        <v>187</v>
      </c>
      <c r="E205" s="185">
        <f>ROUNDUP(E198*1*(10),0)/1.33</f>
        <v>539.09774436090197</v>
      </c>
      <c r="F205" s="176">
        <v>0.05</v>
      </c>
      <c r="G205" s="177">
        <f t="shared" si="130"/>
        <v>566.05263157894694</v>
      </c>
      <c r="H205" s="186" t="s">
        <v>71</v>
      </c>
      <c r="I205" s="148">
        <v>1.6E-2</v>
      </c>
      <c r="J205" s="149">
        <f t="shared" ref="J205:J207" si="143">+I205*G205</f>
        <v>9.0568421052631596</v>
      </c>
      <c r="K205" s="151">
        <f>'LABOR SHEET'!C$7</f>
        <v>83.49</v>
      </c>
      <c r="L205" s="150">
        <f t="shared" ref="L205:L207" si="144">I205*K205</f>
        <v>1.3358399999999999</v>
      </c>
      <c r="M205" s="150">
        <f t="shared" ref="M205:M207" si="145">K205*J205</f>
        <v>756.15574736842098</v>
      </c>
      <c r="N205" s="150">
        <v>1.1000000000000001</v>
      </c>
      <c r="O205" s="150">
        <f t="shared" ref="O205:O207" si="146">N205*G205</f>
        <v>622.65789473684197</v>
      </c>
      <c r="P205" s="150">
        <f t="shared" ref="P205:P207" si="147">(I205*K205)+N205</f>
        <v>2.4358399999999998</v>
      </c>
      <c r="Q205" s="104">
        <f t="shared" ref="Q205:Q207" si="148">P205*G205</f>
        <v>1378.81364210526</v>
      </c>
      <c r="R205" s="203"/>
      <c r="S205" s="203"/>
      <c r="T205" s="203"/>
      <c r="U205" s="203"/>
      <c r="V205" s="203"/>
      <c r="W205" s="203"/>
      <c r="X205" s="203"/>
      <c r="Y205" s="203"/>
      <c r="Z205" s="203"/>
      <c r="AA205" s="203"/>
      <c r="AB205" s="203"/>
      <c r="AC205" s="203"/>
      <c r="AD205" s="203"/>
      <c r="AE205" s="203"/>
      <c r="AF205" s="203"/>
      <c r="AG205" s="203"/>
      <c r="AH205" s="203"/>
      <c r="AI205" s="203"/>
      <c r="AJ205" s="203"/>
    </row>
    <row r="206" spans="1:36" s="31" customFormat="1">
      <c r="A206" s="131">
        <f>IF(F206&lt;&gt;"",1+MAX($A$2:A205),"")</f>
        <v>144</v>
      </c>
      <c r="B206" s="356"/>
      <c r="C206" s="134"/>
      <c r="D206" s="184" t="s">
        <v>188</v>
      </c>
      <c r="E206" s="185">
        <f>E198*2</f>
        <v>143.30000000000001</v>
      </c>
      <c r="F206" s="176">
        <v>0.05</v>
      </c>
      <c r="G206" s="177">
        <f t="shared" si="130"/>
        <v>150.465</v>
      </c>
      <c r="H206" s="186" t="s">
        <v>71</v>
      </c>
      <c r="I206" s="148">
        <v>1.6E-2</v>
      </c>
      <c r="J206" s="149">
        <f t="shared" si="143"/>
        <v>2.4074399999999998</v>
      </c>
      <c r="K206" s="151">
        <f>'LABOR SHEET'!C$7</f>
        <v>83.49</v>
      </c>
      <c r="L206" s="150">
        <f t="shared" si="144"/>
        <v>1.3358399999999999</v>
      </c>
      <c r="M206" s="150">
        <f t="shared" si="145"/>
        <v>200.99716559999999</v>
      </c>
      <c r="N206" s="150">
        <v>1.1000000000000001</v>
      </c>
      <c r="O206" s="150">
        <f t="shared" si="146"/>
        <v>165.51150000000001</v>
      </c>
      <c r="P206" s="150">
        <f t="shared" si="147"/>
        <v>2.4358399999999998</v>
      </c>
      <c r="Q206" s="104">
        <f t="shared" si="148"/>
        <v>366.50866559999997</v>
      </c>
      <c r="R206" s="203"/>
      <c r="S206" s="203"/>
      <c r="T206" s="203"/>
      <c r="U206" s="203"/>
      <c r="V206" s="203"/>
      <c r="W206" s="203"/>
      <c r="X206" s="203"/>
      <c r="Y206" s="203"/>
      <c r="Z206" s="203"/>
      <c r="AA206" s="203"/>
      <c r="AB206" s="203"/>
      <c r="AC206" s="203"/>
      <c r="AD206" s="203"/>
      <c r="AE206" s="203"/>
      <c r="AF206" s="203"/>
      <c r="AG206" s="203"/>
      <c r="AH206" s="203"/>
      <c r="AI206" s="203"/>
      <c r="AJ206" s="203"/>
    </row>
    <row r="207" spans="1:36" s="31" customFormat="1">
      <c r="A207" s="131">
        <f>IF(F207&lt;&gt;"",1+MAX($A$2:A206),"")</f>
        <v>145</v>
      </c>
      <c r="B207" s="356"/>
      <c r="C207" s="134"/>
      <c r="D207" s="184" t="s">
        <v>181</v>
      </c>
      <c r="E207" s="185">
        <f>E198*4</f>
        <v>286.60000000000002</v>
      </c>
      <c r="F207" s="176">
        <v>0.05</v>
      </c>
      <c r="G207" s="177">
        <f t="shared" si="130"/>
        <v>300.93</v>
      </c>
      <c r="H207" s="186" t="s">
        <v>71</v>
      </c>
      <c r="I207" s="148">
        <v>0.01</v>
      </c>
      <c r="J207" s="149">
        <f t="shared" si="143"/>
        <v>3.0093000000000001</v>
      </c>
      <c r="K207" s="151">
        <f>'LABOR SHEET'!C$7</f>
        <v>83.49</v>
      </c>
      <c r="L207" s="150">
        <f t="shared" si="144"/>
        <v>0.83489999999999998</v>
      </c>
      <c r="M207" s="150">
        <f t="shared" si="145"/>
        <v>251.24645699999999</v>
      </c>
      <c r="N207" s="150">
        <v>0.5</v>
      </c>
      <c r="O207" s="150">
        <f t="shared" si="146"/>
        <v>150.465</v>
      </c>
      <c r="P207" s="150">
        <f t="shared" si="147"/>
        <v>1.3349</v>
      </c>
      <c r="Q207" s="104">
        <f t="shared" si="148"/>
        <v>401.711457</v>
      </c>
      <c r="R207" s="203"/>
      <c r="S207" s="203"/>
      <c r="T207" s="203"/>
      <c r="U207" s="203"/>
      <c r="V207" s="203"/>
      <c r="W207" s="203"/>
      <c r="X207" s="203"/>
      <c r="Y207" s="203"/>
      <c r="Z207" s="203"/>
      <c r="AA207" s="203"/>
      <c r="AB207" s="203"/>
      <c r="AC207" s="203"/>
      <c r="AD207" s="203"/>
      <c r="AE207" s="203"/>
      <c r="AF207" s="203"/>
      <c r="AG207" s="203"/>
      <c r="AH207" s="203"/>
      <c r="AI207" s="203"/>
      <c r="AJ207" s="203"/>
    </row>
    <row r="208" spans="1:36" s="31" customFormat="1">
      <c r="A208" s="131" t="str">
        <f>IF(F208&lt;&gt;"",1+MAX($A$2:A207),"")</f>
        <v/>
      </c>
      <c r="B208" s="356"/>
      <c r="C208" s="134"/>
      <c r="D208" s="184"/>
      <c r="E208" s="185"/>
      <c r="F208" s="176"/>
      <c r="G208" s="177"/>
      <c r="H208" s="188"/>
      <c r="I208" s="148"/>
      <c r="J208" s="149"/>
      <c r="K208" s="151"/>
      <c r="L208" s="150"/>
      <c r="M208" s="150"/>
      <c r="N208" s="150"/>
      <c r="O208" s="150"/>
      <c r="P208" s="150"/>
      <c r="Q208" s="152"/>
      <c r="R208" s="203"/>
      <c r="S208" s="203"/>
      <c r="T208" s="203"/>
      <c r="U208" s="203"/>
      <c r="V208" s="203"/>
      <c r="W208" s="203"/>
      <c r="X208" s="203"/>
      <c r="Y208" s="203"/>
      <c r="Z208" s="203"/>
      <c r="AA208" s="203"/>
      <c r="AB208" s="203"/>
      <c r="AC208" s="203"/>
      <c r="AD208" s="203"/>
      <c r="AE208" s="203"/>
      <c r="AF208" s="203"/>
      <c r="AG208" s="203"/>
      <c r="AH208" s="203"/>
      <c r="AI208" s="203"/>
      <c r="AJ208" s="203"/>
    </row>
    <row r="209" spans="1:36" s="31" customFormat="1">
      <c r="A209" s="131" t="str">
        <f>IF(F209&lt;&gt;"",1+MAX($A$2:A208),"")</f>
        <v/>
      </c>
      <c r="B209" s="356"/>
      <c r="C209" s="134"/>
      <c r="D209" s="179" t="s">
        <v>189</v>
      </c>
      <c r="E209" s="180">
        <v>3</v>
      </c>
      <c r="F209" s="181"/>
      <c r="G209" s="182"/>
      <c r="H209" s="183" t="s">
        <v>71</v>
      </c>
      <c r="I209" s="148"/>
      <c r="J209" s="149"/>
      <c r="K209" s="151"/>
      <c r="L209" s="150"/>
      <c r="M209" s="150"/>
      <c r="N209" s="150"/>
      <c r="O209" s="150"/>
      <c r="P209" s="150"/>
      <c r="Q209" s="152"/>
      <c r="R209" s="203"/>
      <c r="S209" s="203"/>
      <c r="T209" s="203"/>
      <c r="U209" s="203"/>
      <c r="V209" s="203"/>
      <c r="W209" s="203"/>
      <c r="X209" s="203"/>
      <c r="Y209" s="203"/>
      <c r="Z209" s="203"/>
      <c r="AA209" s="203"/>
      <c r="AB209" s="203"/>
      <c r="AC209" s="203"/>
      <c r="AD209" s="203"/>
      <c r="AE209" s="203"/>
      <c r="AF209" s="203"/>
      <c r="AG209" s="203"/>
      <c r="AH209" s="203"/>
      <c r="AI209" s="203"/>
      <c r="AJ209" s="203"/>
    </row>
    <row r="210" spans="1:36" s="31" customFormat="1">
      <c r="A210" s="131">
        <f>IF(F210&lt;&gt;"",1+MAX($A$2:A209),"")</f>
        <v>146</v>
      </c>
      <c r="B210" s="356"/>
      <c r="C210" s="134"/>
      <c r="D210" s="184" t="s">
        <v>171</v>
      </c>
      <c r="E210" s="185">
        <f>10*E209*2</f>
        <v>60</v>
      </c>
      <c r="F210" s="176">
        <v>0.1</v>
      </c>
      <c r="G210" s="177">
        <f t="shared" ref="G210:G218" si="149">E210*(1+F210)</f>
        <v>66</v>
      </c>
      <c r="H210" s="186" t="s">
        <v>58</v>
      </c>
      <c r="I210" s="148">
        <v>1.7999999999999999E-2</v>
      </c>
      <c r="J210" s="149">
        <f t="shared" ref="J210" si="150">+I210*G210</f>
        <v>1.1879999999999999</v>
      </c>
      <c r="K210" s="151">
        <f>'LABOR SHEET'!C$7</f>
        <v>83.49</v>
      </c>
      <c r="L210" s="150">
        <f t="shared" ref="L210" si="151">I210*K210</f>
        <v>1.50282</v>
      </c>
      <c r="M210" s="150">
        <f t="shared" ref="M210" si="152">K210*J210</f>
        <v>99.186120000000003</v>
      </c>
      <c r="N210" s="150">
        <v>0.56000000000000005</v>
      </c>
      <c r="O210" s="150">
        <f t="shared" ref="O210" si="153">N210*G210</f>
        <v>36.96</v>
      </c>
      <c r="P210" s="150">
        <f t="shared" ref="P210" si="154">(I210*K210)+N210</f>
        <v>2.0628199999999999</v>
      </c>
      <c r="Q210" s="104">
        <f t="shared" ref="Q210" si="155">P210*G210</f>
        <v>136.14612</v>
      </c>
      <c r="R210" s="203"/>
      <c r="S210" s="203"/>
      <c r="T210" s="203"/>
      <c r="U210" s="203"/>
      <c r="V210" s="203"/>
      <c r="W210" s="203"/>
      <c r="X210" s="203"/>
      <c r="Y210" s="203"/>
      <c r="Z210" s="203"/>
      <c r="AA210" s="203"/>
      <c r="AB210" s="203"/>
      <c r="AC210" s="203"/>
      <c r="AD210" s="203"/>
      <c r="AE210" s="203"/>
      <c r="AF210" s="203"/>
      <c r="AG210" s="203"/>
      <c r="AH210" s="203"/>
      <c r="AI210" s="203"/>
      <c r="AJ210" s="203"/>
    </row>
    <row r="211" spans="1:36" s="31" customFormat="1">
      <c r="A211" s="131">
        <f>IF(F211&lt;&gt;"",1+MAX($A$2:A210),"")</f>
        <v>147</v>
      </c>
      <c r="B211" s="356"/>
      <c r="C211" s="134"/>
      <c r="D211" s="187" t="s">
        <v>172</v>
      </c>
      <c r="E211" s="185">
        <f>ROUNDUP(E210/32,0)</f>
        <v>2</v>
      </c>
      <c r="F211" s="176">
        <v>0</v>
      </c>
      <c r="G211" s="177">
        <f t="shared" si="149"/>
        <v>2</v>
      </c>
      <c r="H211" s="188" t="s">
        <v>81</v>
      </c>
      <c r="I211" s="148"/>
      <c r="J211" s="149"/>
      <c r="K211" s="151"/>
      <c r="L211" s="150"/>
      <c r="M211" s="150"/>
      <c r="N211" s="150"/>
      <c r="O211" s="150"/>
      <c r="P211" s="150"/>
      <c r="Q211" s="104"/>
      <c r="R211" s="203"/>
      <c r="S211" s="203"/>
      <c r="T211" s="203"/>
      <c r="U211" s="203"/>
      <c r="V211" s="203"/>
      <c r="W211" s="203"/>
      <c r="X211" s="203"/>
      <c r="Y211" s="203"/>
      <c r="Z211" s="203"/>
      <c r="AA211" s="203"/>
      <c r="AB211" s="203"/>
      <c r="AC211" s="203"/>
      <c r="AD211" s="203"/>
      <c r="AE211" s="203"/>
      <c r="AF211" s="203"/>
      <c r="AG211" s="203"/>
      <c r="AH211" s="203"/>
      <c r="AI211" s="203"/>
      <c r="AJ211" s="203"/>
    </row>
    <row r="212" spans="1:36" s="31" customFormat="1">
      <c r="A212" s="131">
        <f>IF(F212&lt;&gt;"",1+MAX($A$2:A211),"")</f>
        <v>148</v>
      </c>
      <c r="B212" s="356"/>
      <c r="C212" s="134"/>
      <c r="D212" s="187" t="s">
        <v>173</v>
      </c>
      <c r="E212" s="185">
        <f>ROUNDUP(E210*1.33,0)</f>
        <v>80</v>
      </c>
      <c r="F212" s="176">
        <v>0</v>
      </c>
      <c r="G212" s="177">
        <f t="shared" si="149"/>
        <v>80</v>
      </c>
      <c r="H212" s="188" t="s">
        <v>81</v>
      </c>
      <c r="I212" s="148">
        <v>2E-3</v>
      </c>
      <c r="J212" s="149">
        <f t="shared" ref="J212:J215" si="156">+I212*G212</f>
        <v>0.16</v>
      </c>
      <c r="K212" s="151">
        <f>'LABOR SHEET'!C$7</f>
        <v>83.49</v>
      </c>
      <c r="L212" s="150">
        <f t="shared" ref="L212:L215" si="157">I212*K212</f>
        <v>0.16697999999999999</v>
      </c>
      <c r="M212" s="150">
        <f t="shared" ref="M212:M215" si="158">K212*J212</f>
        <v>13.3584</v>
      </c>
      <c r="N212" s="198">
        <v>0.06</v>
      </c>
      <c r="O212" s="150">
        <f t="shared" ref="O212:O215" si="159">N212*G212</f>
        <v>4.8</v>
      </c>
      <c r="P212" s="150">
        <f t="shared" ref="P212:P215" si="160">(I212*K212)+N212</f>
        <v>0.22697999999999999</v>
      </c>
      <c r="Q212" s="104">
        <f t="shared" ref="Q212:Q215" si="161">P212*G212</f>
        <v>18.1584</v>
      </c>
      <c r="R212" s="203"/>
      <c r="S212" s="203"/>
      <c r="T212" s="203"/>
      <c r="U212" s="203"/>
      <c r="V212" s="203"/>
      <c r="W212" s="203"/>
      <c r="X212" s="203"/>
      <c r="Y212" s="203"/>
      <c r="Z212" s="203"/>
      <c r="AA212" s="203"/>
      <c r="AB212" s="203"/>
      <c r="AC212" s="203"/>
      <c r="AD212" s="203"/>
      <c r="AE212" s="203"/>
      <c r="AF212" s="203"/>
      <c r="AG212" s="203"/>
      <c r="AH212" s="203"/>
      <c r="AI212" s="203"/>
      <c r="AJ212" s="203"/>
    </row>
    <row r="213" spans="1:36" s="31" customFormat="1">
      <c r="A213" s="131">
        <f>IF(F213&lt;&gt;"",1+MAX($A$2:A212),"")</f>
        <v>149</v>
      </c>
      <c r="B213" s="356"/>
      <c r="C213" s="134"/>
      <c r="D213" s="187" t="s">
        <v>174</v>
      </c>
      <c r="E213" s="185">
        <f>ROUNDUP(E211*16,0)</f>
        <v>32</v>
      </c>
      <c r="F213" s="176">
        <v>0.05</v>
      </c>
      <c r="G213" s="177">
        <f t="shared" si="149"/>
        <v>33.6</v>
      </c>
      <c r="H213" s="188" t="s">
        <v>71</v>
      </c>
      <c r="I213" s="148">
        <v>1.0999999999999999E-2</v>
      </c>
      <c r="J213" s="149">
        <f t="shared" si="156"/>
        <v>0.36959999999999998</v>
      </c>
      <c r="K213" s="151">
        <f>'LABOR SHEET'!C$7</f>
        <v>83.49</v>
      </c>
      <c r="L213" s="150">
        <f t="shared" si="157"/>
        <v>0.91839000000000004</v>
      </c>
      <c r="M213" s="150">
        <f t="shared" si="158"/>
        <v>30.857904000000001</v>
      </c>
      <c r="N213" s="198">
        <v>0.03</v>
      </c>
      <c r="O213" s="150">
        <f t="shared" si="159"/>
        <v>1.008</v>
      </c>
      <c r="P213" s="150">
        <f t="shared" si="160"/>
        <v>0.94838999999999996</v>
      </c>
      <c r="Q213" s="104">
        <f t="shared" si="161"/>
        <v>31.865904</v>
      </c>
      <c r="R213" s="203"/>
      <c r="S213" s="203"/>
      <c r="T213" s="203"/>
      <c r="U213" s="203"/>
      <c r="V213" s="203"/>
      <c r="W213" s="203"/>
      <c r="X213" s="203"/>
      <c r="Y213" s="203"/>
      <c r="Z213" s="203"/>
      <c r="AA213" s="203"/>
      <c r="AB213" s="203"/>
      <c r="AC213" s="203"/>
      <c r="AD213" s="203"/>
      <c r="AE213" s="203"/>
      <c r="AF213" s="203"/>
      <c r="AG213" s="203"/>
      <c r="AH213" s="203"/>
      <c r="AI213" s="203"/>
      <c r="AJ213" s="203"/>
    </row>
    <row r="214" spans="1:36" s="31" customFormat="1">
      <c r="A214" s="131">
        <f>IF(F214&lt;&gt;"",1+MAX($A$2:A213),"")</f>
        <v>150</v>
      </c>
      <c r="B214" s="356"/>
      <c r="C214" s="134"/>
      <c r="D214" s="187" t="s">
        <v>175</v>
      </c>
      <c r="E214" s="185">
        <f>E210*0.084</f>
        <v>5.04</v>
      </c>
      <c r="F214" s="135">
        <v>0.05</v>
      </c>
      <c r="G214" s="177">
        <f t="shared" si="149"/>
        <v>5.2919999999999998</v>
      </c>
      <c r="H214" s="188" t="s">
        <v>176</v>
      </c>
      <c r="I214" s="148">
        <v>0.11</v>
      </c>
      <c r="J214" s="149">
        <f t="shared" si="156"/>
        <v>0.58211999999999997</v>
      </c>
      <c r="K214" s="151">
        <f>'LABOR SHEET'!C$7</f>
        <v>83.49</v>
      </c>
      <c r="L214" s="150">
        <f t="shared" si="157"/>
        <v>9.1838999999999995</v>
      </c>
      <c r="M214" s="150">
        <f t="shared" si="158"/>
        <v>48.601198799999999</v>
      </c>
      <c r="N214" s="150">
        <v>0.5</v>
      </c>
      <c r="O214" s="150">
        <f t="shared" si="159"/>
        <v>2.6459999999999999</v>
      </c>
      <c r="P214" s="150">
        <f t="shared" si="160"/>
        <v>9.6838999999999995</v>
      </c>
      <c r="Q214" s="104">
        <f t="shared" si="161"/>
        <v>51.2471988</v>
      </c>
      <c r="R214" s="203"/>
      <c r="S214" s="203"/>
      <c r="T214" s="203"/>
      <c r="U214" s="203"/>
      <c r="V214" s="203"/>
      <c r="W214" s="203"/>
      <c r="X214" s="203"/>
      <c r="Y214" s="203"/>
      <c r="Z214" s="203"/>
      <c r="AA214" s="203"/>
      <c r="AB214" s="203"/>
      <c r="AC214" s="203"/>
      <c r="AD214" s="203"/>
      <c r="AE214" s="203"/>
      <c r="AF214" s="203"/>
      <c r="AG214" s="203"/>
      <c r="AH214" s="203"/>
      <c r="AI214" s="203"/>
      <c r="AJ214" s="203"/>
    </row>
    <row r="215" spans="1:36" s="31" customFormat="1">
      <c r="A215" s="131">
        <f>IF(F215&lt;&gt;"",1+MAX($A$2:A214),"")</f>
        <v>151</v>
      </c>
      <c r="B215" s="356"/>
      <c r="C215" s="134"/>
      <c r="D215" s="184" t="s">
        <v>178</v>
      </c>
      <c r="E215" s="185">
        <f>ROUNDUP(3*1*(10),0)</f>
        <v>30</v>
      </c>
      <c r="F215" s="176">
        <v>0.1</v>
      </c>
      <c r="G215" s="177">
        <f t="shared" si="149"/>
        <v>33</v>
      </c>
      <c r="H215" s="186" t="s">
        <v>58</v>
      </c>
      <c r="I215" s="148">
        <v>0.01</v>
      </c>
      <c r="J215" s="149">
        <f t="shared" si="156"/>
        <v>0.33</v>
      </c>
      <c r="K215" s="151">
        <f>'LABOR SHEET'!C$7</f>
        <v>83.49</v>
      </c>
      <c r="L215" s="150">
        <f t="shared" si="157"/>
        <v>0.83489999999999998</v>
      </c>
      <c r="M215" s="150">
        <f t="shared" si="158"/>
        <v>27.5517</v>
      </c>
      <c r="N215" s="150">
        <v>0.8</v>
      </c>
      <c r="O215" s="150">
        <f t="shared" si="159"/>
        <v>26.4</v>
      </c>
      <c r="P215" s="150">
        <f t="shared" si="160"/>
        <v>1.6349</v>
      </c>
      <c r="Q215" s="104">
        <f t="shared" si="161"/>
        <v>53.951700000000002</v>
      </c>
      <c r="R215" s="203"/>
      <c r="S215" s="203"/>
      <c r="T215" s="203"/>
      <c r="U215" s="203"/>
      <c r="V215" s="203"/>
      <c r="W215" s="203"/>
      <c r="X215" s="203"/>
      <c r="Y215" s="203"/>
      <c r="Z215" s="203"/>
      <c r="AA215" s="203"/>
      <c r="AB215" s="203"/>
      <c r="AC215" s="203"/>
      <c r="AD215" s="203"/>
      <c r="AE215" s="203"/>
      <c r="AF215" s="203"/>
      <c r="AG215" s="203"/>
      <c r="AH215" s="203"/>
      <c r="AI215" s="203"/>
      <c r="AJ215" s="203"/>
    </row>
    <row r="216" spans="1:36" s="31" customFormat="1">
      <c r="A216" s="131">
        <f>IF(F216&lt;&gt;"",1+MAX($A$2:A215),"")</f>
        <v>152</v>
      </c>
      <c r="B216" s="356"/>
      <c r="C216" s="134"/>
      <c r="D216" s="184" t="s">
        <v>190</v>
      </c>
      <c r="E216" s="185">
        <f>ROUNDUP(E209*1*(10),0)/1.33</f>
        <v>22.556390977443598</v>
      </c>
      <c r="F216" s="176">
        <v>0.05</v>
      </c>
      <c r="G216" s="177">
        <f t="shared" si="149"/>
        <v>23.684210526315798</v>
      </c>
      <c r="H216" s="186" t="s">
        <v>71</v>
      </c>
      <c r="I216" s="148">
        <v>1.7999999999999999E-2</v>
      </c>
      <c r="J216" s="149">
        <f t="shared" ref="J216:J218" si="162">+I216*G216</f>
        <v>0.42631578947368398</v>
      </c>
      <c r="K216" s="151">
        <f>'LABOR SHEET'!C$7</f>
        <v>83.49</v>
      </c>
      <c r="L216" s="150">
        <f t="shared" ref="L216:L218" si="163">I216*K216</f>
        <v>1.50282</v>
      </c>
      <c r="M216" s="150">
        <f t="shared" ref="M216:M218" si="164">K216*J216</f>
        <v>35.593105263157902</v>
      </c>
      <c r="N216" s="150">
        <v>1.4</v>
      </c>
      <c r="O216" s="150">
        <f t="shared" ref="O216:O218" si="165">N216*G216</f>
        <v>33.157894736842103</v>
      </c>
      <c r="P216" s="150">
        <f t="shared" ref="P216:P218" si="166">(I216*K216)+N216</f>
        <v>2.9028200000000002</v>
      </c>
      <c r="Q216" s="104">
        <f t="shared" ref="Q216:Q218" si="167">P216*G216</f>
        <v>68.751000000000005</v>
      </c>
      <c r="R216" s="203"/>
      <c r="S216" s="203"/>
      <c r="T216" s="203"/>
      <c r="U216" s="203"/>
      <c r="V216" s="203"/>
      <c r="W216" s="203"/>
      <c r="X216" s="203"/>
      <c r="Y216" s="203"/>
      <c r="Z216" s="203"/>
      <c r="AA216" s="203"/>
      <c r="AB216" s="203"/>
      <c r="AC216" s="203"/>
      <c r="AD216" s="203"/>
      <c r="AE216" s="203"/>
      <c r="AF216" s="203"/>
      <c r="AG216" s="203"/>
      <c r="AH216" s="203"/>
      <c r="AI216" s="203"/>
      <c r="AJ216" s="203"/>
    </row>
    <row r="217" spans="1:36" s="31" customFormat="1">
      <c r="A217" s="131">
        <f>IF(F217&lt;&gt;"",1+MAX($A$2:A216),"")</f>
        <v>153</v>
      </c>
      <c r="B217" s="356"/>
      <c r="C217" s="134"/>
      <c r="D217" s="184" t="s">
        <v>191</v>
      </c>
      <c r="E217" s="185">
        <f>E209*2</f>
        <v>6</v>
      </c>
      <c r="F217" s="176">
        <v>0.05</v>
      </c>
      <c r="G217" s="177">
        <f t="shared" si="149"/>
        <v>6.3</v>
      </c>
      <c r="H217" s="186" t="s">
        <v>71</v>
      </c>
      <c r="I217" s="148">
        <v>1.7999999999999999E-2</v>
      </c>
      <c r="J217" s="149">
        <f t="shared" si="162"/>
        <v>0.1134</v>
      </c>
      <c r="K217" s="151">
        <f>'LABOR SHEET'!C$7</f>
        <v>83.49</v>
      </c>
      <c r="L217" s="150">
        <f t="shared" si="163"/>
        <v>1.50282</v>
      </c>
      <c r="M217" s="150">
        <f t="shared" si="164"/>
        <v>9.4677659999999992</v>
      </c>
      <c r="N217" s="150">
        <v>1.4</v>
      </c>
      <c r="O217" s="150">
        <f t="shared" si="165"/>
        <v>8.82</v>
      </c>
      <c r="P217" s="150">
        <f t="shared" si="166"/>
        <v>2.9028200000000002</v>
      </c>
      <c r="Q217" s="104">
        <f t="shared" si="167"/>
        <v>18.287766000000001</v>
      </c>
      <c r="R217" s="203"/>
      <c r="S217" s="203"/>
      <c r="T217" s="203"/>
      <c r="U217" s="203"/>
      <c r="V217" s="203"/>
      <c r="W217" s="203"/>
      <c r="X217" s="203"/>
      <c r="Y217" s="203"/>
      <c r="Z217" s="203"/>
      <c r="AA217" s="203"/>
      <c r="AB217" s="203"/>
      <c r="AC217" s="203"/>
      <c r="AD217" s="203"/>
      <c r="AE217" s="203"/>
      <c r="AF217" s="203"/>
      <c r="AG217" s="203"/>
      <c r="AH217" s="203"/>
      <c r="AI217" s="203"/>
      <c r="AJ217" s="203"/>
    </row>
    <row r="218" spans="1:36" s="31" customFormat="1">
      <c r="A218" s="131">
        <f>IF(F218&lt;&gt;"",1+MAX($A$2:A217),"")</f>
        <v>154</v>
      </c>
      <c r="B218" s="356"/>
      <c r="C218" s="134"/>
      <c r="D218" s="184" t="s">
        <v>181</v>
      </c>
      <c r="E218" s="185">
        <f>E209*4</f>
        <v>12</v>
      </c>
      <c r="F218" s="176">
        <v>0.05</v>
      </c>
      <c r="G218" s="177">
        <f t="shared" si="149"/>
        <v>12.6</v>
      </c>
      <c r="H218" s="186" t="s">
        <v>71</v>
      </c>
      <c r="I218" s="148">
        <v>0.01</v>
      </c>
      <c r="J218" s="149">
        <f t="shared" si="162"/>
        <v>0.126</v>
      </c>
      <c r="K218" s="151">
        <f>'LABOR SHEET'!C$7</f>
        <v>83.49</v>
      </c>
      <c r="L218" s="150">
        <f t="shared" si="163"/>
        <v>0.83489999999999998</v>
      </c>
      <c r="M218" s="150">
        <f t="shared" si="164"/>
        <v>10.519740000000001</v>
      </c>
      <c r="N218" s="150">
        <v>0.5</v>
      </c>
      <c r="O218" s="150">
        <f t="shared" si="165"/>
        <v>6.3</v>
      </c>
      <c r="P218" s="150">
        <f t="shared" si="166"/>
        <v>1.3349</v>
      </c>
      <c r="Q218" s="104">
        <f t="shared" si="167"/>
        <v>16.819739999999999</v>
      </c>
      <c r="R218" s="203"/>
      <c r="S218" s="203"/>
      <c r="T218" s="203"/>
      <c r="U218" s="203"/>
      <c r="V218" s="203"/>
      <c r="W218" s="203"/>
      <c r="X218" s="203"/>
      <c r="Y218" s="203"/>
      <c r="Z218" s="203"/>
      <c r="AA218" s="203"/>
      <c r="AB218" s="203"/>
      <c r="AC218" s="203"/>
      <c r="AD218" s="203"/>
      <c r="AE218" s="203"/>
      <c r="AF218" s="203"/>
      <c r="AG218" s="203"/>
      <c r="AH218" s="203"/>
      <c r="AI218" s="203"/>
      <c r="AJ218" s="203"/>
    </row>
    <row r="219" spans="1:36" s="31" customFormat="1">
      <c r="A219" s="131" t="str">
        <f>IF(F219&lt;&gt;"",1+MAX($A$2:A218),"")</f>
        <v/>
      </c>
      <c r="B219" s="356"/>
      <c r="C219" s="134"/>
      <c r="D219" s="184"/>
      <c r="E219" s="185"/>
      <c r="F219" s="176"/>
      <c r="G219" s="177"/>
      <c r="H219" s="188"/>
      <c r="I219" s="148"/>
      <c r="J219" s="149"/>
      <c r="K219" s="151"/>
      <c r="L219" s="150"/>
      <c r="M219" s="150"/>
      <c r="N219" s="150"/>
      <c r="O219" s="150"/>
      <c r="P219" s="150"/>
      <c r="Q219" s="152"/>
      <c r="R219" s="203"/>
      <c r="S219" s="203"/>
      <c r="T219" s="203"/>
      <c r="U219" s="203"/>
      <c r="V219" s="203"/>
      <c r="W219" s="203"/>
      <c r="X219" s="203"/>
      <c r="Y219" s="203"/>
      <c r="Z219" s="203"/>
      <c r="AA219" s="203"/>
      <c r="AB219" s="203"/>
      <c r="AC219" s="203"/>
      <c r="AD219" s="203"/>
      <c r="AE219" s="203"/>
      <c r="AF219" s="203"/>
      <c r="AG219" s="203"/>
      <c r="AH219" s="203"/>
      <c r="AI219" s="203"/>
      <c r="AJ219" s="203"/>
    </row>
    <row r="220" spans="1:36" s="31" customFormat="1">
      <c r="A220" s="131" t="str">
        <f>IF(F220&lt;&gt;"",1+MAX($A$2:A219),"")</f>
        <v/>
      </c>
      <c r="B220" s="356"/>
      <c r="C220" s="134"/>
      <c r="D220" s="160" t="s">
        <v>192</v>
      </c>
      <c r="E220" s="173"/>
      <c r="F220" s="173"/>
      <c r="G220" s="173"/>
      <c r="H220" s="173"/>
      <c r="I220" s="148"/>
      <c r="J220" s="188"/>
      <c r="K220" s="188"/>
      <c r="L220" s="150"/>
      <c r="M220" s="150"/>
      <c r="N220" s="150"/>
      <c r="O220" s="150"/>
      <c r="P220" s="150"/>
      <c r="Q220" s="152"/>
      <c r="R220" s="203"/>
      <c r="S220" s="203"/>
      <c r="T220" s="203"/>
      <c r="U220" s="203"/>
      <c r="V220" s="203"/>
      <c r="W220" s="203"/>
      <c r="X220" s="203"/>
      <c r="Y220" s="203"/>
      <c r="Z220" s="203"/>
      <c r="AA220" s="203"/>
      <c r="AB220" s="203"/>
      <c r="AC220" s="203"/>
      <c r="AD220" s="203"/>
      <c r="AE220" s="203"/>
      <c r="AF220" s="203"/>
      <c r="AG220" s="203"/>
      <c r="AH220" s="203"/>
      <c r="AI220" s="203"/>
      <c r="AJ220" s="203"/>
    </row>
    <row r="221" spans="1:36" s="31" customFormat="1" ht="78">
      <c r="A221" s="131">
        <f>IF(F221&lt;&gt;"",1+MAX($A$2:A220),"")</f>
        <v>155</v>
      </c>
      <c r="B221" s="356"/>
      <c r="C221" s="188"/>
      <c r="D221" s="167" t="s">
        <v>193</v>
      </c>
      <c r="E221" s="134">
        <v>4490.2299999999996</v>
      </c>
      <c r="F221" s="176">
        <v>0.1</v>
      </c>
      <c r="G221" s="177">
        <f t="shared" ref="G221:G226" si="168">E221*(1+F221)</f>
        <v>4939.2529999999997</v>
      </c>
      <c r="H221" s="188" t="s">
        <v>58</v>
      </c>
      <c r="I221" s="148">
        <v>3.7999999999999999E-2</v>
      </c>
      <c r="J221" s="149">
        <f>+I221*G221</f>
        <v>187.69161399999999</v>
      </c>
      <c r="K221" s="151">
        <f>'LABOR SHEET'!C$10</f>
        <v>77.95</v>
      </c>
      <c r="L221" s="150">
        <f>I221*K221</f>
        <v>2.9621</v>
      </c>
      <c r="M221" s="150">
        <f>K221*J221</f>
        <v>14630.5613113</v>
      </c>
      <c r="N221" s="150">
        <v>3.15</v>
      </c>
      <c r="O221" s="150">
        <f>N221*G221</f>
        <v>15558.64695</v>
      </c>
      <c r="P221" s="150">
        <f>(I221*K221)+N221</f>
        <v>6.1120999999999999</v>
      </c>
      <c r="Q221" s="104">
        <f>P221*G221</f>
        <v>30189.208261299998</v>
      </c>
    </row>
    <row r="222" spans="1:36" s="31" customFormat="1" ht="46.8">
      <c r="A222" s="131">
        <f>IF(F222&lt;&gt;"",1+MAX($A$2:A221),"")</f>
        <v>156</v>
      </c>
      <c r="B222" s="356"/>
      <c r="C222" s="188"/>
      <c r="D222" s="167" t="s">
        <v>194</v>
      </c>
      <c r="E222" s="134">
        <v>257.83</v>
      </c>
      <c r="F222" s="176">
        <v>0.1</v>
      </c>
      <c r="G222" s="177">
        <f t="shared" si="168"/>
        <v>283.613</v>
      </c>
      <c r="H222" s="188" t="s">
        <v>58</v>
      </c>
      <c r="I222" s="148">
        <v>3.5000000000000003E-2</v>
      </c>
      <c r="J222" s="149">
        <f t="shared" ref="J222:J223" si="169">+I222*G222</f>
        <v>9.9264550000000007</v>
      </c>
      <c r="K222" s="151">
        <f>'LABOR SHEET'!C$10</f>
        <v>77.95</v>
      </c>
      <c r="L222" s="150">
        <f t="shared" ref="L222:L223" si="170">I222*K222</f>
        <v>2.7282500000000001</v>
      </c>
      <c r="M222" s="150">
        <f t="shared" ref="M222:M223" si="171">K222*J222</f>
        <v>773.76716725000006</v>
      </c>
      <c r="N222" s="150">
        <v>2.85</v>
      </c>
      <c r="O222" s="150">
        <f t="shared" ref="O222:O223" si="172">N222*G222</f>
        <v>808.29705000000001</v>
      </c>
      <c r="P222" s="150">
        <f t="shared" ref="P222:P223" si="173">(I222*K222)+N222</f>
        <v>5.5782499999999997</v>
      </c>
      <c r="Q222" s="104">
        <f t="shared" ref="Q222:Q223" si="174">P222*G222</f>
        <v>1582.06421725</v>
      </c>
    </row>
    <row r="223" spans="1:36" s="31" customFormat="1" ht="78">
      <c r="A223" s="131">
        <f>IF(F223&lt;&gt;"",1+MAX($A$2:A222),"")</f>
        <v>157</v>
      </c>
      <c r="B223" s="356"/>
      <c r="C223" s="188"/>
      <c r="D223" s="167" t="s">
        <v>195</v>
      </c>
      <c r="E223" s="134">
        <v>519.82000000000005</v>
      </c>
      <c r="F223" s="176">
        <v>0.1</v>
      </c>
      <c r="G223" s="177">
        <f t="shared" si="168"/>
        <v>571.80200000000002</v>
      </c>
      <c r="H223" s="188" t="s">
        <v>58</v>
      </c>
      <c r="I223" s="148">
        <v>0.06</v>
      </c>
      <c r="J223" s="149">
        <f t="shared" si="169"/>
        <v>34.308120000000002</v>
      </c>
      <c r="K223" s="151">
        <f>'LABOR SHEET'!C$10</f>
        <v>77.95</v>
      </c>
      <c r="L223" s="150">
        <f t="shared" si="170"/>
        <v>4.6769999999999996</v>
      </c>
      <c r="M223" s="150">
        <f t="shared" si="171"/>
        <v>2674.3179540000001</v>
      </c>
      <c r="N223" s="150">
        <v>10.7</v>
      </c>
      <c r="O223" s="150">
        <f t="shared" si="172"/>
        <v>6118.2813999999998</v>
      </c>
      <c r="P223" s="150">
        <f t="shared" si="173"/>
        <v>15.377000000000001</v>
      </c>
      <c r="Q223" s="104">
        <f t="shared" si="174"/>
        <v>8792.5993539999999</v>
      </c>
    </row>
    <row r="224" spans="1:36" s="31" customFormat="1">
      <c r="A224" s="131" t="str">
        <f>IF(F224&lt;&gt;"",1+MAX($A$2:A223),"")</f>
        <v/>
      </c>
      <c r="B224" s="356"/>
      <c r="C224" s="188"/>
      <c r="D224" s="126"/>
      <c r="E224" s="185"/>
      <c r="F224" s="176"/>
      <c r="G224" s="177"/>
      <c r="H224" s="188"/>
      <c r="I224" s="148"/>
      <c r="J224" s="149"/>
      <c r="K224" s="151"/>
      <c r="L224" s="150"/>
      <c r="M224" s="150"/>
      <c r="N224" s="150"/>
      <c r="O224" s="150"/>
      <c r="P224" s="150"/>
      <c r="Q224" s="152"/>
    </row>
    <row r="225" spans="1:36" s="31" customFormat="1">
      <c r="A225" s="131" t="str">
        <f>IF(F225&lt;&gt;"",1+MAX($A$2:A224),"")</f>
        <v/>
      </c>
      <c r="B225" s="356"/>
      <c r="C225" s="134"/>
      <c r="D225" s="160" t="s">
        <v>196</v>
      </c>
      <c r="E225" s="173"/>
      <c r="F225" s="173"/>
      <c r="G225" s="173"/>
      <c r="H225" s="173"/>
      <c r="I225" s="148"/>
      <c r="J225" s="188"/>
      <c r="K225" s="188"/>
      <c r="L225" s="150"/>
      <c r="M225" s="150"/>
      <c r="N225" s="150"/>
      <c r="O225" s="150"/>
      <c r="P225" s="150"/>
      <c r="Q225" s="152"/>
      <c r="R225" s="203"/>
      <c r="S225" s="203"/>
      <c r="T225" s="203"/>
      <c r="U225" s="203"/>
      <c r="V225" s="203"/>
      <c r="W225" s="203"/>
      <c r="X225" s="203"/>
      <c r="Y225" s="203"/>
      <c r="Z225" s="203"/>
      <c r="AA225" s="203"/>
      <c r="AB225" s="203"/>
      <c r="AC225" s="203"/>
      <c r="AD225" s="203"/>
      <c r="AE225" s="203"/>
      <c r="AF225" s="203"/>
      <c r="AG225" s="203"/>
      <c r="AH225" s="203"/>
      <c r="AI225" s="203"/>
      <c r="AJ225" s="203"/>
    </row>
    <row r="226" spans="1:36" s="31" customFormat="1">
      <c r="A226" s="131">
        <f>IF(F226&lt;&gt;"",1+MAX($A$2:A225),"")</f>
        <v>158</v>
      </c>
      <c r="B226" s="356"/>
      <c r="C226" s="188"/>
      <c r="D226" s="204" t="s">
        <v>197</v>
      </c>
      <c r="E226" s="205">
        <v>1258</v>
      </c>
      <c r="F226" s="176">
        <v>0.05</v>
      </c>
      <c r="G226" s="177">
        <f t="shared" si="168"/>
        <v>1320.9</v>
      </c>
      <c r="H226" s="188" t="s">
        <v>71</v>
      </c>
      <c r="I226" s="148">
        <v>2.4E-2</v>
      </c>
      <c r="J226" s="149">
        <f t="shared" ref="J226:J229" si="175">+I226*G226</f>
        <v>31.701599999999999</v>
      </c>
      <c r="K226" s="151">
        <f>'LABOR SHEET'!C$10</f>
        <v>77.95</v>
      </c>
      <c r="L226" s="150">
        <f t="shared" ref="L226:L229" si="176">I226*K226</f>
        <v>1.8708</v>
      </c>
      <c r="M226" s="150">
        <f t="shared" ref="M226:M229" si="177">K226*J226</f>
        <v>2471.1397200000001</v>
      </c>
      <c r="N226" s="150">
        <v>2.1</v>
      </c>
      <c r="O226" s="150">
        <f t="shared" ref="O226:O229" si="178">N226*G226</f>
        <v>2773.89</v>
      </c>
      <c r="P226" s="150">
        <f t="shared" ref="P226:P229" si="179">(I226*K226)+N226</f>
        <v>3.9708000000000001</v>
      </c>
      <c r="Q226" s="104">
        <f t="shared" ref="Q226:Q229" si="180">P226*G226</f>
        <v>5245.0297200000005</v>
      </c>
    </row>
    <row r="227" spans="1:36" s="31" customFormat="1">
      <c r="A227" s="131">
        <f>IF(F227&lt;&gt;"",1+MAX($A$2:A226),"")</f>
        <v>159</v>
      </c>
      <c r="B227" s="356"/>
      <c r="C227" s="188"/>
      <c r="D227" s="204" t="s">
        <v>198</v>
      </c>
      <c r="E227" s="205">
        <v>1925.12</v>
      </c>
      <c r="F227" s="176">
        <v>0.05</v>
      </c>
      <c r="G227" s="177">
        <f t="shared" ref="G227:G229" si="181">E227*(1+F227)</f>
        <v>2021.376</v>
      </c>
      <c r="H227" s="188" t="s">
        <v>71</v>
      </c>
      <c r="I227" s="148">
        <v>2.4E-2</v>
      </c>
      <c r="J227" s="149">
        <f t="shared" si="175"/>
        <v>48.513024000000001</v>
      </c>
      <c r="K227" s="151">
        <f>'LABOR SHEET'!C$10</f>
        <v>77.95</v>
      </c>
      <c r="L227" s="150">
        <f t="shared" si="176"/>
        <v>1.8708</v>
      </c>
      <c r="M227" s="150">
        <f t="shared" si="177"/>
        <v>3781.5902208000002</v>
      </c>
      <c r="N227" s="150">
        <v>2.1</v>
      </c>
      <c r="O227" s="150">
        <f t="shared" si="178"/>
        <v>4244.8896000000004</v>
      </c>
      <c r="P227" s="150">
        <f t="shared" si="179"/>
        <v>3.9708000000000001</v>
      </c>
      <c r="Q227" s="104">
        <f t="shared" si="180"/>
        <v>8026.4798208000002</v>
      </c>
    </row>
    <row r="228" spans="1:36" s="31" customFormat="1" ht="93.6">
      <c r="A228" s="131">
        <f>IF(F228&lt;&gt;"",1+MAX($A$2:A227),"")</f>
        <v>160</v>
      </c>
      <c r="B228" s="356"/>
      <c r="C228" s="188"/>
      <c r="D228" s="167" t="s">
        <v>199</v>
      </c>
      <c r="E228" s="134">
        <v>153.77000000000001</v>
      </c>
      <c r="F228" s="176">
        <v>0.05</v>
      </c>
      <c r="G228" s="177">
        <f t="shared" si="181"/>
        <v>161.45849999999999</v>
      </c>
      <c r="H228" s="188" t="s">
        <v>71</v>
      </c>
      <c r="I228" s="148">
        <v>2.8000000000000001E-2</v>
      </c>
      <c r="J228" s="149">
        <f t="shared" si="175"/>
        <v>4.5208380000000004</v>
      </c>
      <c r="K228" s="151">
        <f>'LABOR SHEET'!C$10</f>
        <v>77.95</v>
      </c>
      <c r="L228" s="150">
        <f t="shared" si="176"/>
        <v>2.1825999999999999</v>
      </c>
      <c r="M228" s="150">
        <f t="shared" si="177"/>
        <v>352.39932210000001</v>
      </c>
      <c r="N228" s="150">
        <v>2.35</v>
      </c>
      <c r="O228" s="150">
        <f t="shared" si="178"/>
        <v>379.42747500000002</v>
      </c>
      <c r="P228" s="150">
        <f t="shared" si="179"/>
        <v>4.5326000000000004</v>
      </c>
      <c r="Q228" s="104">
        <f t="shared" si="180"/>
        <v>731.82679710000002</v>
      </c>
    </row>
    <row r="229" spans="1:36" s="31" customFormat="1" ht="62.4">
      <c r="A229" s="131">
        <f>IF(F229&lt;&gt;"",1+MAX($A$2:A228),"")</f>
        <v>161</v>
      </c>
      <c r="B229" s="356"/>
      <c r="C229" s="188"/>
      <c r="D229" s="167" t="s">
        <v>200</v>
      </c>
      <c r="E229" s="206">
        <v>1541.08</v>
      </c>
      <c r="F229" s="176">
        <v>0.05</v>
      </c>
      <c r="G229" s="177">
        <f t="shared" si="181"/>
        <v>1618.134</v>
      </c>
      <c r="H229" s="188" t="s">
        <v>71</v>
      </c>
      <c r="I229" s="148">
        <v>2.5999999999999999E-2</v>
      </c>
      <c r="J229" s="149">
        <f t="shared" si="175"/>
        <v>42.071483999999998</v>
      </c>
      <c r="K229" s="151">
        <f>'LABOR SHEET'!C$10</f>
        <v>77.95</v>
      </c>
      <c r="L229" s="150">
        <f t="shared" si="176"/>
        <v>2.0266999999999999</v>
      </c>
      <c r="M229" s="150">
        <f t="shared" si="177"/>
        <v>3279.4721777999998</v>
      </c>
      <c r="N229" s="150">
        <v>2.08</v>
      </c>
      <c r="O229" s="150">
        <f t="shared" si="178"/>
        <v>3365.7187199999998</v>
      </c>
      <c r="P229" s="150">
        <f t="shared" si="179"/>
        <v>4.1067</v>
      </c>
      <c r="Q229" s="104">
        <f t="shared" si="180"/>
        <v>6645.1908978000001</v>
      </c>
    </row>
    <row r="230" spans="1:36" s="31" customFormat="1">
      <c r="A230" s="131" t="str">
        <f>IF(F230&lt;&gt;"",1+MAX($A$2:A229),"")</f>
        <v/>
      </c>
      <c r="B230" s="356"/>
      <c r="C230" s="188"/>
      <c r="D230" s="126"/>
      <c r="E230" s="185"/>
      <c r="F230" s="176"/>
      <c r="G230" s="177"/>
      <c r="H230" s="188"/>
      <c r="I230" s="148"/>
      <c r="J230" s="149"/>
      <c r="K230" s="151"/>
      <c r="L230" s="150"/>
      <c r="M230" s="150"/>
      <c r="N230" s="150"/>
      <c r="O230" s="150"/>
      <c r="P230" s="150"/>
      <c r="Q230" s="152"/>
    </row>
    <row r="231" spans="1:36" s="31" customFormat="1">
      <c r="A231" s="131" t="str">
        <f>IF(F231&lt;&gt;"",1+MAX($A$2:A230),"")</f>
        <v/>
      </c>
      <c r="B231" s="356"/>
      <c r="C231" s="134"/>
      <c r="D231" s="160" t="s">
        <v>201</v>
      </c>
      <c r="E231" s="173"/>
      <c r="F231" s="173"/>
      <c r="G231" s="173"/>
      <c r="H231" s="173"/>
      <c r="I231" s="148"/>
      <c r="J231" s="188"/>
      <c r="K231" s="188"/>
      <c r="L231" s="150"/>
      <c r="M231" s="150"/>
      <c r="N231" s="150"/>
      <c r="O231" s="150"/>
      <c r="P231" s="150"/>
      <c r="Q231" s="152"/>
      <c r="R231" s="203"/>
      <c r="S231" s="203"/>
      <c r="T231" s="203"/>
      <c r="U231" s="203"/>
      <c r="V231" s="203"/>
      <c r="W231" s="203"/>
      <c r="X231" s="203"/>
      <c r="Y231" s="203"/>
      <c r="Z231" s="203"/>
      <c r="AA231" s="203"/>
      <c r="AB231" s="203"/>
      <c r="AC231" s="203"/>
      <c r="AD231" s="203"/>
      <c r="AE231" s="203"/>
      <c r="AF231" s="203"/>
      <c r="AG231" s="203"/>
      <c r="AH231" s="203"/>
      <c r="AI231" s="203"/>
      <c r="AJ231" s="203"/>
    </row>
    <row r="232" spans="1:36" s="31" customFormat="1">
      <c r="A232" s="131">
        <f>IF(F232&lt;&gt;"",1+MAX($A$2:A231),"")</f>
        <v>162</v>
      </c>
      <c r="B232" s="356"/>
      <c r="C232" s="188"/>
      <c r="D232" s="167" t="s">
        <v>202</v>
      </c>
      <c r="E232" s="134">
        <v>4811</v>
      </c>
      <c r="F232" s="176">
        <v>0.1</v>
      </c>
      <c r="G232" s="177">
        <f>E232*(1+F232)</f>
        <v>5292.1</v>
      </c>
      <c r="H232" s="188" t="s">
        <v>58</v>
      </c>
      <c r="I232" s="148">
        <v>2.7E-2</v>
      </c>
      <c r="J232" s="149">
        <f>+I232*G232</f>
        <v>142.88669999999999</v>
      </c>
      <c r="K232" s="151">
        <f>'LABOR SHEET'!C$7</f>
        <v>83.49</v>
      </c>
      <c r="L232" s="150">
        <f>I232*K232</f>
        <v>2.2542300000000002</v>
      </c>
      <c r="M232" s="150">
        <f>K232*J232</f>
        <v>11929.610583</v>
      </c>
      <c r="N232" s="150">
        <v>0.495</v>
      </c>
      <c r="O232" s="150">
        <f>N232*G232</f>
        <v>2619.5895</v>
      </c>
      <c r="P232" s="150">
        <f>(I232*K232)+N232</f>
        <v>2.7492299999999998</v>
      </c>
      <c r="Q232" s="104">
        <f>P232*G232</f>
        <v>14549.200083</v>
      </c>
    </row>
    <row r="233" spans="1:36" s="31" customFormat="1">
      <c r="A233" s="131">
        <f>IF(F233&lt;&gt;"",1+MAX($A$2:A232),"")</f>
        <v>163</v>
      </c>
      <c r="B233" s="356"/>
      <c r="C233" s="134"/>
      <c r="D233" s="187" t="s">
        <v>172</v>
      </c>
      <c r="E233" s="185">
        <f>ROUNDUP(E232/32,0)</f>
        <v>151</v>
      </c>
      <c r="F233" s="176">
        <v>0</v>
      </c>
      <c r="G233" s="177">
        <f>E233*(1+F233)</f>
        <v>151</v>
      </c>
      <c r="H233" s="188" t="s">
        <v>81</v>
      </c>
      <c r="I233" s="148"/>
      <c r="J233" s="149"/>
      <c r="K233" s="151"/>
      <c r="L233" s="150"/>
      <c r="M233" s="150"/>
      <c r="N233" s="150"/>
      <c r="O233" s="150"/>
      <c r="P233" s="150"/>
      <c r="Q233" s="104"/>
      <c r="R233" s="203"/>
      <c r="S233" s="203"/>
      <c r="T233" s="203"/>
      <c r="U233" s="203"/>
      <c r="V233" s="203"/>
      <c r="W233" s="203"/>
      <c r="X233" s="203"/>
      <c r="Y233" s="203"/>
      <c r="Z233" s="203"/>
      <c r="AA233" s="203"/>
      <c r="AB233" s="203"/>
      <c r="AC233" s="203"/>
      <c r="AD233" s="203"/>
      <c r="AE233" s="203"/>
      <c r="AF233" s="203"/>
      <c r="AG233" s="203"/>
      <c r="AH233" s="203"/>
      <c r="AI233" s="203"/>
      <c r="AJ233" s="203"/>
    </row>
    <row r="234" spans="1:36" s="31" customFormat="1">
      <c r="A234" s="131">
        <f>IF(F234&lt;&gt;"",1+MAX($A$2:A233),"")</f>
        <v>164</v>
      </c>
      <c r="B234" s="356"/>
      <c r="C234" s="134"/>
      <c r="D234" s="187" t="s">
        <v>173</v>
      </c>
      <c r="E234" s="185">
        <f>ROUNDUP(E232*1.33,0)</f>
        <v>6399</v>
      </c>
      <c r="F234" s="176">
        <v>0</v>
      </c>
      <c r="G234" s="177">
        <f>E234*(1+F234)</f>
        <v>6399</v>
      </c>
      <c r="H234" s="188" t="s">
        <v>81</v>
      </c>
      <c r="I234" s="148">
        <v>2E-3</v>
      </c>
      <c r="J234" s="149">
        <f t="shared" ref="J234:J236" si="182">+I234*G234</f>
        <v>12.798</v>
      </c>
      <c r="K234" s="151">
        <f>'LABOR SHEET'!C$7</f>
        <v>83.49</v>
      </c>
      <c r="L234" s="150">
        <f t="shared" ref="L234:L236" si="183">I234*K234</f>
        <v>0.16697999999999999</v>
      </c>
      <c r="M234" s="150">
        <f t="shared" ref="M234:M236" si="184">K234*J234</f>
        <v>1068.5050200000001</v>
      </c>
      <c r="N234" s="198">
        <v>0.06</v>
      </c>
      <c r="O234" s="150">
        <f t="shared" ref="O234:O236" si="185">N234*G234</f>
        <v>383.94</v>
      </c>
      <c r="P234" s="150">
        <f t="shared" ref="P234:P236" si="186">(I234*K234)+N234</f>
        <v>0.22697999999999999</v>
      </c>
      <c r="Q234" s="104">
        <f t="shared" ref="Q234:Q236" si="187">P234*G234</f>
        <v>1452.4450200000001</v>
      </c>
      <c r="R234" s="203"/>
      <c r="S234" s="203"/>
      <c r="T234" s="203"/>
      <c r="U234" s="203"/>
      <c r="V234" s="203"/>
      <c r="W234" s="203"/>
      <c r="X234" s="203"/>
      <c r="Y234" s="203"/>
      <c r="Z234" s="203"/>
      <c r="AA234" s="203"/>
      <c r="AB234" s="203"/>
      <c r="AC234" s="203"/>
      <c r="AD234" s="203"/>
      <c r="AE234" s="203"/>
      <c r="AF234" s="203"/>
      <c r="AG234" s="203"/>
      <c r="AH234" s="203"/>
      <c r="AI234" s="203"/>
      <c r="AJ234" s="203"/>
    </row>
    <row r="235" spans="1:36" s="31" customFormat="1">
      <c r="A235" s="131">
        <f>IF(F235&lt;&gt;"",1+MAX($A$2:A234),"")</f>
        <v>165</v>
      </c>
      <c r="B235" s="356"/>
      <c r="C235" s="134"/>
      <c r="D235" s="187" t="s">
        <v>174</v>
      </c>
      <c r="E235" s="185">
        <f>ROUNDUP(E233*16,0)</f>
        <v>2416</v>
      </c>
      <c r="F235" s="176">
        <v>0.05</v>
      </c>
      <c r="G235" s="177">
        <f>E235*(1+F235)</f>
        <v>2536.8000000000002</v>
      </c>
      <c r="H235" s="188" t="s">
        <v>71</v>
      </c>
      <c r="I235" s="148">
        <v>1.0999999999999999E-2</v>
      </c>
      <c r="J235" s="149">
        <f t="shared" si="182"/>
        <v>27.904800000000002</v>
      </c>
      <c r="K235" s="151">
        <f>'LABOR SHEET'!C$7</f>
        <v>83.49</v>
      </c>
      <c r="L235" s="150">
        <f t="shared" si="183"/>
        <v>0.91839000000000004</v>
      </c>
      <c r="M235" s="150">
        <f t="shared" si="184"/>
        <v>2329.7717520000001</v>
      </c>
      <c r="N235" s="198">
        <v>0.03</v>
      </c>
      <c r="O235" s="150">
        <f t="shared" si="185"/>
        <v>76.103999999999999</v>
      </c>
      <c r="P235" s="150">
        <f t="shared" si="186"/>
        <v>0.94838999999999996</v>
      </c>
      <c r="Q235" s="104">
        <f t="shared" si="187"/>
        <v>2405.8757519999999</v>
      </c>
      <c r="R235" s="203"/>
      <c r="S235" s="203"/>
      <c r="T235" s="203"/>
      <c r="U235" s="203"/>
      <c r="V235" s="203"/>
      <c r="W235" s="203"/>
      <c r="X235" s="203"/>
      <c r="Y235" s="203"/>
      <c r="Z235" s="203"/>
      <c r="AA235" s="203"/>
      <c r="AB235" s="203"/>
      <c r="AC235" s="203"/>
      <c r="AD235" s="203"/>
      <c r="AE235" s="203"/>
      <c r="AF235" s="203"/>
      <c r="AG235" s="203"/>
      <c r="AH235" s="203"/>
      <c r="AI235" s="203"/>
      <c r="AJ235" s="203"/>
    </row>
    <row r="236" spans="1:36" s="31" customFormat="1">
      <c r="A236" s="131">
        <f>IF(F236&lt;&gt;"",1+MAX($A$2:A235),"")</f>
        <v>166</v>
      </c>
      <c r="B236" s="356"/>
      <c r="C236" s="134"/>
      <c r="D236" s="187" t="s">
        <v>175</v>
      </c>
      <c r="E236" s="185">
        <f>E232*0.084</f>
        <v>404.12400000000002</v>
      </c>
      <c r="F236" s="135">
        <v>0.05</v>
      </c>
      <c r="G236" s="177">
        <f>E236*(1+F236)</f>
        <v>424.33019999999999</v>
      </c>
      <c r="H236" s="188" t="s">
        <v>176</v>
      </c>
      <c r="I236" s="148">
        <v>0.11</v>
      </c>
      <c r="J236" s="149">
        <f t="shared" si="182"/>
        <v>46.676321999999999</v>
      </c>
      <c r="K236" s="151">
        <f>'LABOR SHEET'!C$7</f>
        <v>83.49</v>
      </c>
      <c r="L236" s="150">
        <f t="shared" si="183"/>
        <v>9.1838999999999995</v>
      </c>
      <c r="M236" s="150">
        <f t="shared" si="184"/>
        <v>3897.0061237800001</v>
      </c>
      <c r="N236" s="150">
        <v>0.5</v>
      </c>
      <c r="O236" s="150">
        <f t="shared" si="185"/>
        <v>212.1651</v>
      </c>
      <c r="P236" s="150">
        <f t="shared" si="186"/>
        <v>9.6838999999999995</v>
      </c>
      <c r="Q236" s="104">
        <f t="shared" si="187"/>
        <v>4109.1712237800002</v>
      </c>
      <c r="R236" s="203"/>
      <c r="S236" s="203"/>
      <c r="T236" s="203"/>
      <c r="U236" s="203"/>
      <c r="V236" s="203"/>
      <c r="W236" s="203"/>
      <c r="X236" s="203"/>
      <c r="Y236" s="203"/>
      <c r="Z236" s="203"/>
      <c r="AA236" s="203"/>
      <c r="AB236" s="203"/>
      <c r="AC236" s="203"/>
      <c r="AD236" s="203"/>
      <c r="AE236" s="203"/>
      <c r="AF236" s="203"/>
      <c r="AG236" s="203"/>
      <c r="AH236" s="203"/>
      <c r="AI236" s="203"/>
      <c r="AJ236" s="203"/>
    </row>
    <row r="237" spans="1:36" s="31" customFormat="1">
      <c r="A237" s="131">
        <f>IF(F237&lt;&gt;"",1+MAX($A$2:A236),"")</f>
        <v>167</v>
      </c>
      <c r="B237" s="356"/>
      <c r="C237" s="188"/>
      <c r="D237" s="167" t="s">
        <v>203</v>
      </c>
      <c r="E237" s="134">
        <v>522</v>
      </c>
      <c r="F237" s="176">
        <v>0.1</v>
      </c>
      <c r="G237" s="177">
        <f t="shared" ref="G237:G242" si="188">E237*(1+F237)</f>
        <v>574.20000000000005</v>
      </c>
      <c r="H237" s="188" t="s">
        <v>58</v>
      </c>
      <c r="I237" s="148">
        <v>2.9000000000000001E-2</v>
      </c>
      <c r="J237" s="149">
        <f t="shared" ref="J237:J243" si="189">+I237*G237</f>
        <v>16.651800000000001</v>
      </c>
      <c r="K237" s="151">
        <f>'LABOR SHEET'!C$7</f>
        <v>83.49</v>
      </c>
      <c r="L237" s="150">
        <f t="shared" ref="L237:L243" si="190">I237*K237</f>
        <v>2.4212099999999999</v>
      </c>
      <c r="M237" s="150">
        <f t="shared" ref="M237:M243" si="191">K237*J237</f>
        <v>1390.2587820000001</v>
      </c>
      <c r="N237" s="150">
        <v>0.74</v>
      </c>
      <c r="O237" s="150">
        <f t="shared" ref="O237:O243" si="192">N237*G237</f>
        <v>424.90800000000002</v>
      </c>
      <c r="P237" s="150">
        <f t="shared" ref="P237:P243" si="193">(I237*K237)+N237</f>
        <v>3.1612100000000001</v>
      </c>
      <c r="Q237" s="104">
        <f t="shared" ref="Q237:Q243" si="194">P237*G237</f>
        <v>1815.166782</v>
      </c>
    </row>
    <row r="238" spans="1:36" s="31" customFormat="1">
      <c r="A238" s="131">
        <f>IF(F238&lt;&gt;"",1+MAX($A$2:A237),"")</f>
        <v>168</v>
      </c>
      <c r="B238" s="356"/>
      <c r="C238" s="134"/>
      <c r="D238" s="187" t="s">
        <v>172</v>
      </c>
      <c r="E238" s="185">
        <f>ROUNDUP(E237/32,0)</f>
        <v>17</v>
      </c>
      <c r="F238" s="176">
        <v>0</v>
      </c>
      <c r="G238" s="177">
        <f t="shared" si="188"/>
        <v>17</v>
      </c>
      <c r="H238" s="188" t="s">
        <v>81</v>
      </c>
      <c r="I238" s="148"/>
      <c r="J238" s="149"/>
      <c r="K238" s="151"/>
      <c r="L238" s="150"/>
      <c r="M238" s="150"/>
      <c r="N238" s="150"/>
      <c r="O238" s="150"/>
      <c r="P238" s="150"/>
      <c r="Q238" s="104"/>
      <c r="R238" s="203"/>
      <c r="S238" s="203"/>
      <c r="T238" s="203"/>
      <c r="U238" s="203"/>
      <c r="V238" s="203"/>
      <c r="W238" s="203"/>
      <c r="X238" s="203"/>
      <c r="Y238" s="203"/>
      <c r="Z238" s="203"/>
      <c r="AA238" s="203"/>
      <c r="AB238" s="203"/>
      <c r="AC238" s="203"/>
      <c r="AD238" s="203"/>
      <c r="AE238" s="203"/>
      <c r="AF238" s="203"/>
      <c r="AG238" s="203"/>
      <c r="AH238" s="203"/>
      <c r="AI238" s="203"/>
      <c r="AJ238" s="203"/>
    </row>
    <row r="239" spans="1:36" s="31" customFormat="1">
      <c r="A239" s="131">
        <f>IF(F239&lt;&gt;"",1+MAX($A$2:A238),"")</f>
        <v>169</v>
      </c>
      <c r="B239" s="356"/>
      <c r="C239" s="134"/>
      <c r="D239" s="187" t="s">
        <v>173</v>
      </c>
      <c r="E239" s="185">
        <f>ROUNDUP(E237*1.33,0)</f>
        <v>695</v>
      </c>
      <c r="F239" s="176">
        <v>0</v>
      </c>
      <c r="G239" s="177">
        <f t="shared" si="188"/>
        <v>695</v>
      </c>
      <c r="H239" s="188" t="s">
        <v>81</v>
      </c>
      <c r="I239" s="148">
        <v>2E-3</v>
      </c>
      <c r="J239" s="149">
        <f t="shared" ref="J239:J241" si="195">+I239*G239</f>
        <v>1.39</v>
      </c>
      <c r="K239" s="151">
        <f>'LABOR SHEET'!C$7</f>
        <v>83.49</v>
      </c>
      <c r="L239" s="150">
        <f t="shared" ref="L239:L241" si="196">I239*K239</f>
        <v>0.16697999999999999</v>
      </c>
      <c r="M239" s="150">
        <f t="shared" ref="M239:M241" si="197">K239*J239</f>
        <v>116.05110000000001</v>
      </c>
      <c r="N239" s="198">
        <v>0.06</v>
      </c>
      <c r="O239" s="150">
        <f t="shared" ref="O239:O241" si="198">N239*G239</f>
        <v>41.7</v>
      </c>
      <c r="P239" s="150">
        <f t="shared" ref="P239:P241" si="199">(I239*K239)+N239</f>
        <v>0.22697999999999999</v>
      </c>
      <c r="Q239" s="104">
        <f t="shared" ref="Q239:Q241" si="200">P239*G239</f>
        <v>157.75110000000001</v>
      </c>
      <c r="R239" s="203"/>
      <c r="S239" s="203"/>
      <c r="T239" s="203"/>
      <c r="U239" s="203"/>
      <c r="V239" s="203"/>
      <c r="W239" s="203"/>
      <c r="X239" s="203"/>
      <c r="Y239" s="203"/>
      <c r="Z239" s="203"/>
      <c r="AA239" s="203"/>
      <c r="AB239" s="203"/>
      <c r="AC239" s="203"/>
      <c r="AD239" s="203"/>
      <c r="AE239" s="203"/>
      <c r="AF239" s="203"/>
      <c r="AG239" s="203"/>
      <c r="AH239" s="203"/>
      <c r="AI239" s="203"/>
      <c r="AJ239" s="203"/>
    </row>
    <row r="240" spans="1:36" s="31" customFormat="1">
      <c r="A240" s="131">
        <f>IF(F240&lt;&gt;"",1+MAX($A$2:A239),"")</f>
        <v>170</v>
      </c>
      <c r="B240" s="356"/>
      <c r="C240" s="134"/>
      <c r="D240" s="187" t="s">
        <v>174</v>
      </c>
      <c r="E240" s="185">
        <f>ROUNDUP(E238*16,0)</f>
        <v>272</v>
      </c>
      <c r="F240" s="176">
        <v>0.05</v>
      </c>
      <c r="G240" s="177">
        <f t="shared" si="188"/>
        <v>285.60000000000002</v>
      </c>
      <c r="H240" s="188" t="s">
        <v>71</v>
      </c>
      <c r="I240" s="148">
        <v>1.0999999999999999E-2</v>
      </c>
      <c r="J240" s="149">
        <f t="shared" si="195"/>
        <v>3.1415999999999999</v>
      </c>
      <c r="K240" s="151">
        <f>'LABOR SHEET'!C$7</f>
        <v>83.49</v>
      </c>
      <c r="L240" s="150">
        <f t="shared" si="196"/>
        <v>0.91839000000000004</v>
      </c>
      <c r="M240" s="150">
        <f t="shared" si="197"/>
        <v>262.29218400000002</v>
      </c>
      <c r="N240" s="198">
        <v>0.03</v>
      </c>
      <c r="O240" s="150">
        <f t="shared" si="198"/>
        <v>8.5679999999999996</v>
      </c>
      <c r="P240" s="150">
        <f t="shared" si="199"/>
        <v>0.94838999999999996</v>
      </c>
      <c r="Q240" s="104">
        <f t="shared" si="200"/>
        <v>270.860184</v>
      </c>
      <c r="R240" s="203"/>
      <c r="S240" s="203"/>
      <c r="T240" s="203"/>
      <c r="U240" s="203"/>
      <c r="V240" s="203"/>
      <c r="W240" s="203"/>
      <c r="X240" s="203"/>
      <c r="Y240" s="203"/>
      <c r="Z240" s="203"/>
      <c r="AA240" s="203"/>
      <c r="AB240" s="203"/>
      <c r="AC240" s="203"/>
      <c r="AD240" s="203"/>
      <c r="AE240" s="203"/>
      <c r="AF240" s="203"/>
      <c r="AG240" s="203"/>
      <c r="AH240" s="203"/>
      <c r="AI240" s="203"/>
      <c r="AJ240" s="203"/>
    </row>
    <row r="241" spans="1:36" s="31" customFormat="1">
      <c r="A241" s="131">
        <f>IF(F241&lt;&gt;"",1+MAX($A$2:A240),"")</f>
        <v>171</v>
      </c>
      <c r="B241" s="356"/>
      <c r="C241" s="134"/>
      <c r="D241" s="187" t="s">
        <v>175</v>
      </c>
      <c r="E241" s="185">
        <f>E237*0.084</f>
        <v>43.847999999999999</v>
      </c>
      <c r="F241" s="135">
        <v>0.05</v>
      </c>
      <c r="G241" s="177">
        <f t="shared" si="188"/>
        <v>46.040399999999998</v>
      </c>
      <c r="H241" s="188" t="s">
        <v>176</v>
      </c>
      <c r="I241" s="148">
        <v>0.11</v>
      </c>
      <c r="J241" s="149">
        <f t="shared" si="195"/>
        <v>5.0644439999999999</v>
      </c>
      <c r="K241" s="151">
        <f>'LABOR SHEET'!C$7</f>
        <v>83.49</v>
      </c>
      <c r="L241" s="150">
        <f t="shared" si="196"/>
        <v>9.1838999999999995</v>
      </c>
      <c r="M241" s="150">
        <f t="shared" si="197"/>
        <v>422.83042956000003</v>
      </c>
      <c r="N241" s="150">
        <v>0.5</v>
      </c>
      <c r="O241" s="150">
        <f t="shared" si="198"/>
        <v>23.020199999999999</v>
      </c>
      <c r="P241" s="150">
        <f t="shared" si="199"/>
        <v>9.6838999999999995</v>
      </c>
      <c r="Q241" s="104">
        <f t="shared" si="200"/>
        <v>445.85062956000002</v>
      </c>
      <c r="R241" s="203"/>
      <c r="S241" s="203"/>
      <c r="T241" s="203"/>
      <c r="U241" s="203"/>
      <c r="V241" s="203"/>
      <c r="W241" s="203"/>
      <c r="X241" s="203"/>
      <c r="Y241" s="203"/>
      <c r="Z241" s="203"/>
      <c r="AA241" s="203"/>
      <c r="AB241" s="203"/>
      <c r="AC241" s="203"/>
      <c r="AD241" s="203"/>
      <c r="AE241" s="203"/>
      <c r="AF241" s="203"/>
      <c r="AG241" s="203"/>
      <c r="AH241" s="203"/>
      <c r="AI241" s="203"/>
      <c r="AJ241" s="203"/>
    </row>
    <row r="242" spans="1:36" s="31" customFormat="1">
      <c r="A242" s="131">
        <f>IF(F242&lt;&gt;"",1+MAX($A$2:A241),"")</f>
        <v>172</v>
      </c>
      <c r="B242" s="356"/>
      <c r="C242" s="188"/>
      <c r="D242" s="167" t="s">
        <v>204</v>
      </c>
      <c r="E242" s="134">
        <v>5333</v>
      </c>
      <c r="F242" s="176">
        <v>0.1</v>
      </c>
      <c r="G242" s="177">
        <f t="shared" si="188"/>
        <v>5866.3</v>
      </c>
      <c r="H242" s="188" t="s">
        <v>58</v>
      </c>
      <c r="I242" s="148">
        <v>2.5999999999999999E-2</v>
      </c>
      <c r="J242" s="149">
        <f t="shared" si="189"/>
        <v>152.52379999999999</v>
      </c>
      <c r="K242" s="151">
        <f>'LABOR SHEET'!C$7</f>
        <v>83.49</v>
      </c>
      <c r="L242" s="150">
        <f t="shared" si="190"/>
        <v>2.1707399999999999</v>
      </c>
      <c r="M242" s="150">
        <f t="shared" si="191"/>
        <v>12734.212062000001</v>
      </c>
      <c r="N242" s="150">
        <v>0.5</v>
      </c>
      <c r="O242" s="150">
        <f t="shared" si="192"/>
        <v>2933.15</v>
      </c>
      <c r="P242" s="150">
        <f t="shared" si="193"/>
        <v>2.6707399999999999</v>
      </c>
      <c r="Q242" s="104">
        <f t="shared" si="194"/>
        <v>15667.362062</v>
      </c>
    </row>
    <row r="243" spans="1:36" s="31" customFormat="1">
      <c r="A243" s="131">
        <f>IF(F243&lt;&gt;"",1+MAX($A$2:A242),"")</f>
        <v>173</v>
      </c>
      <c r="B243" s="356"/>
      <c r="C243" s="188"/>
      <c r="D243" s="167" t="s">
        <v>205</v>
      </c>
      <c r="E243" s="134">
        <v>136</v>
      </c>
      <c r="F243" s="176">
        <v>0.1</v>
      </c>
      <c r="G243" s="177">
        <f t="shared" ref="G243:G256" si="201">E243*(1+F243)</f>
        <v>149.6</v>
      </c>
      <c r="H243" s="188" t="s">
        <v>58</v>
      </c>
      <c r="I243" s="148">
        <f>0.008+0.026</f>
        <v>3.4000000000000002E-2</v>
      </c>
      <c r="J243" s="149">
        <f t="shared" si="189"/>
        <v>5.0864000000000003</v>
      </c>
      <c r="K243" s="151">
        <f>'LABOR SHEET'!C$7</f>
        <v>83.49</v>
      </c>
      <c r="L243" s="150">
        <f t="shared" si="190"/>
        <v>2.83866</v>
      </c>
      <c r="M243" s="150">
        <f t="shared" si="191"/>
        <v>424.66353600000002</v>
      </c>
      <c r="N243" s="150">
        <f>0.1+0.5</f>
        <v>0.6</v>
      </c>
      <c r="O243" s="150">
        <f t="shared" si="192"/>
        <v>89.76</v>
      </c>
      <c r="P243" s="150">
        <f t="shared" si="193"/>
        <v>3.43866</v>
      </c>
      <c r="Q243" s="104">
        <f t="shared" si="194"/>
        <v>514.42353600000001</v>
      </c>
    </row>
    <row r="244" spans="1:36" s="31" customFormat="1">
      <c r="A244" s="131" t="str">
        <f>IF(F244&lt;&gt;"",1+MAX($A$2:A243),"")</f>
        <v/>
      </c>
      <c r="B244" s="356"/>
      <c r="C244" s="188"/>
      <c r="D244" s="167"/>
      <c r="E244" s="134"/>
      <c r="F244" s="176"/>
      <c r="G244" s="177"/>
      <c r="H244" s="188"/>
      <c r="I244" s="148"/>
      <c r="J244" s="149"/>
      <c r="K244" s="151"/>
      <c r="L244" s="150"/>
      <c r="M244" s="150"/>
      <c r="N244" s="150"/>
      <c r="O244" s="150"/>
      <c r="P244" s="150"/>
      <c r="Q244" s="152"/>
    </row>
    <row r="245" spans="1:36" s="31" customFormat="1">
      <c r="A245" s="131" t="str">
        <f>IF(F245&lt;&gt;"",1+MAX($A$2:A244),"")</f>
        <v/>
      </c>
      <c r="B245" s="356"/>
      <c r="C245" s="134"/>
      <c r="D245" s="160" t="s">
        <v>206</v>
      </c>
      <c r="E245" s="173"/>
      <c r="F245" s="173"/>
      <c r="G245" s="173"/>
      <c r="H245" s="173"/>
      <c r="I245" s="148"/>
      <c r="J245" s="188"/>
      <c r="K245" s="188"/>
      <c r="L245" s="150"/>
      <c r="M245" s="150"/>
      <c r="N245" s="150"/>
      <c r="O245" s="150"/>
      <c r="P245" s="150"/>
      <c r="Q245" s="152"/>
      <c r="R245" s="203"/>
      <c r="S245" s="203"/>
      <c r="T245" s="203"/>
      <c r="U245" s="203"/>
      <c r="V245" s="203"/>
      <c r="W245" s="203"/>
      <c r="X245" s="203"/>
      <c r="Y245" s="203"/>
      <c r="Z245" s="203"/>
      <c r="AA245" s="203"/>
      <c r="AB245" s="203"/>
      <c r="AC245" s="203"/>
      <c r="AD245" s="203"/>
      <c r="AE245" s="203"/>
      <c r="AF245" s="203"/>
      <c r="AG245" s="203"/>
      <c r="AH245" s="203"/>
      <c r="AI245" s="203"/>
      <c r="AJ245" s="203"/>
    </row>
    <row r="246" spans="1:36" s="31" customFormat="1" ht="93.6">
      <c r="A246" s="131">
        <f>IF(F246&lt;&gt;"",1+MAX($A$2:A245),"")</f>
        <v>174</v>
      </c>
      <c r="B246" s="356"/>
      <c r="C246" s="188"/>
      <c r="D246" s="207" t="s">
        <v>207</v>
      </c>
      <c r="E246" s="134">
        <v>188</v>
      </c>
      <c r="F246" s="176">
        <v>0.05</v>
      </c>
      <c r="G246" s="177">
        <f t="shared" si="201"/>
        <v>197.4</v>
      </c>
      <c r="H246" s="188" t="s">
        <v>71</v>
      </c>
      <c r="I246" s="148">
        <v>4.3999999999999997E-2</v>
      </c>
      <c r="J246" s="149">
        <f>+I246*G246</f>
        <v>8.6856000000000009</v>
      </c>
      <c r="K246" s="151">
        <f>'LABOR SHEET'!C$10</f>
        <v>77.95</v>
      </c>
      <c r="L246" s="150">
        <f>I246*K246</f>
        <v>3.4298000000000002</v>
      </c>
      <c r="M246" s="150">
        <f>K246*J246</f>
        <v>677.04251999999997</v>
      </c>
      <c r="N246" s="150">
        <v>4.5599999999999996</v>
      </c>
      <c r="O246" s="150">
        <f>N246*G246</f>
        <v>900.14400000000001</v>
      </c>
      <c r="P246" s="150">
        <f>(I246*K246)+N246</f>
        <v>7.9897999999999998</v>
      </c>
      <c r="Q246" s="104">
        <f>P246*G246</f>
        <v>1577.18652</v>
      </c>
    </row>
    <row r="247" spans="1:36" s="31" customFormat="1" ht="62.4">
      <c r="A247" s="131">
        <f>IF(F247&lt;&gt;"",1+MAX($A$2:A246),"")</f>
        <v>175</v>
      </c>
      <c r="B247" s="356"/>
      <c r="C247" s="188"/>
      <c r="D247" s="167" t="s">
        <v>208</v>
      </c>
      <c r="E247" s="134">
        <v>111.12</v>
      </c>
      <c r="F247" s="176">
        <v>0.1</v>
      </c>
      <c r="G247" s="177">
        <f t="shared" si="201"/>
        <v>122.232</v>
      </c>
      <c r="H247" s="188" t="s">
        <v>58</v>
      </c>
      <c r="I247" s="148">
        <v>6.8000000000000005E-2</v>
      </c>
      <c r="J247" s="149">
        <f>+I247*G247</f>
        <v>8.3117760000000001</v>
      </c>
      <c r="K247" s="151">
        <f>'LABOR SHEET'!C$3</f>
        <v>83.49</v>
      </c>
      <c r="L247" s="150">
        <f>I247*K247</f>
        <v>5.6773199999999999</v>
      </c>
      <c r="M247" s="150">
        <f>K247*J247</f>
        <v>693.95017824000001</v>
      </c>
      <c r="N247" s="150">
        <v>13.66</v>
      </c>
      <c r="O247" s="150">
        <f>N247*G247</f>
        <v>1669.68912</v>
      </c>
      <c r="P247" s="150">
        <f>(I247*K247)+N247</f>
        <v>19.337319999999998</v>
      </c>
      <c r="Q247" s="104">
        <f>P247*G247</f>
        <v>2363.6392982399998</v>
      </c>
    </row>
    <row r="248" spans="1:36" s="31" customFormat="1" ht="62.4">
      <c r="A248" s="131">
        <f>IF(F248&lt;&gt;"",1+MAX($A$2:A247),"")</f>
        <v>176</v>
      </c>
      <c r="B248" s="356"/>
      <c r="C248" s="188"/>
      <c r="D248" s="167" t="s">
        <v>209</v>
      </c>
      <c r="E248" s="134">
        <v>133.41999999999999</v>
      </c>
      <c r="F248" s="176">
        <v>0.1</v>
      </c>
      <c r="G248" s="177">
        <f t="shared" si="201"/>
        <v>146.762</v>
      </c>
      <c r="H248" s="188" t="s">
        <v>58</v>
      </c>
      <c r="I248" s="148">
        <v>3.2000000000000001E-2</v>
      </c>
      <c r="J248" s="149">
        <f>+I248*G248</f>
        <v>4.6963840000000001</v>
      </c>
      <c r="K248" s="151">
        <f>'LABOR SHEET'!C$3</f>
        <v>83.49</v>
      </c>
      <c r="L248" s="150">
        <f>I248*K248</f>
        <v>2.6716799999999998</v>
      </c>
      <c r="M248" s="150">
        <f>K248*J248</f>
        <v>392.10110015999999</v>
      </c>
      <c r="N248" s="150">
        <v>2.75</v>
      </c>
      <c r="O248" s="150">
        <f>N248*G248</f>
        <v>403.59550000000002</v>
      </c>
      <c r="P248" s="150">
        <f>(I248*K248)+N248</f>
        <v>5.4216800000000003</v>
      </c>
      <c r="Q248" s="104">
        <f>P248*G248</f>
        <v>795.69660016</v>
      </c>
    </row>
    <row r="249" spans="1:36" s="31" customFormat="1" ht="93.6">
      <c r="A249" s="131">
        <f>IF(F249&lt;&gt;"",1+MAX($A$2:A248),"")</f>
        <v>177</v>
      </c>
      <c r="B249" s="356"/>
      <c r="C249" s="188"/>
      <c r="D249" s="167" t="s">
        <v>210</v>
      </c>
      <c r="E249" s="164">
        <v>784</v>
      </c>
      <c r="F249" s="176">
        <v>0.1</v>
      </c>
      <c r="G249" s="177">
        <f t="shared" si="201"/>
        <v>862.4</v>
      </c>
      <c r="H249" s="188" t="s">
        <v>58</v>
      </c>
      <c r="I249" s="148">
        <v>0.06</v>
      </c>
      <c r="J249" s="149">
        <f t="shared" ref="J249" si="202">+I249*G249</f>
        <v>51.744</v>
      </c>
      <c r="K249" s="151">
        <f>'LABOR SHEET'!C$10</f>
        <v>77.95</v>
      </c>
      <c r="L249" s="150">
        <f t="shared" ref="L249" si="203">I249*K249</f>
        <v>4.6769999999999996</v>
      </c>
      <c r="M249" s="150">
        <f t="shared" ref="M249" si="204">K249*J249</f>
        <v>4033.4448000000002</v>
      </c>
      <c r="N249" s="150">
        <v>10.7</v>
      </c>
      <c r="O249" s="150">
        <f t="shared" ref="O249" si="205">N249*G249</f>
        <v>9227.68</v>
      </c>
      <c r="P249" s="150">
        <f t="shared" ref="P249" si="206">(I249*K249)+N249</f>
        <v>15.377000000000001</v>
      </c>
      <c r="Q249" s="104">
        <f>P249*G249</f>
        <v>13261.1248</v>
      </c>
    </row>
    <row r="250" spans="1:36" s="31" customFormat="1" ht="62.4">
      <c r="A250" s="131">
        <f>IF(F250&lt;&gt;"",1+MAX($A$2:A249),"")</f>
        <v>178</v>
      </c>
      <c r="B250" s="356"/>
      <c r="C250" s="188"/>
      <c r="D250" s="167" t="s">
        <v>211</v>
      </c>
      <c r="E250" s="134">
        <v>1543.2</v>
      </c>
      <c r="F250" s="176">
        <v>0.1</v>
      </c>
      <c r="G250" s="177">
        <f t="shared" si="201"/>
        <v>1697.52</v>
      </c>
      <c r="H250" s="188" t="s">
        <v>58</v>
      </c>
      <c r="I250" s="148">
        <v>2.5999999999999999E-2</v>
      </c>
      <c r="J250" s="149">
        <f t="shared" ref="J250" si="207">+I250*G250</f>
        <v>44.13552</v>
      </c>
      <c r="K250" s="151">
        <f>'LABOR SHEET'!C$9</f>
        <v>70.3</v>
      </c>
      <c r="L250" s="150">
        <f t="shared" ref="L250" si="208">I250*K250</f>
        <v>1.8278000000000001</v>
      </c>
      <c r="M250" s="150">
        <f t="shared" ref="M250" si="209">K250*J250</f>
        <v>3102.7270560000002</v>
      </c>
      <c r="N250" s="150">
        <v>0.55000000000000004</v>
      </c>
      <c r="O250" s="150">
        <f t="shared" ref="O250" si="210">N250*G250</f>
        <v>933.63599999999997</v>
      </c>
      <c r="P250" s="150">
        <f t="shared" ref="P250" si="211">(I250*K250)+N250</f>
        <v>2.3778000000000001</v>
      </c>
      <c r="Q250" s="104">
        <f t="shared" ref="Q250" si="212">P250*G250</f>
        <v>4036.3630560000001</v>
      </c>
    </row>
    <row r="251" spans="1:36" s="31" customFormat="1" ht="62.4">
      <c r="A251" s="131">
        <f>IF(F251&lt;&gt;"",1+MAX($A$2:A250),"")</f>
        <v>179</v>
      </c>
      <c r="B251" s="356"/>
      <c r="C251" s="188"/>
      <c r="D251" s="167" t="s">
        <v>212</v>
      </c>
      <c r="E251" s="164">
        <v>418.26</v>
      </c>
      <c r="F251" s="176">
        <v>0.1</v>
      </c>
      <c r="G251" s="177">
        <f t="shared" si="201"/>
        <v>460.08600000000001</v>
      </c>
      <c r="H251" s="188" t="s">
        <v>58</v>
      </c>
      <c r="I251" s="148">
        <v>2.5999999999999999E-2</v>
      </c>
      <c r="J251" s="149">
        <f t="shared" ref="J251:J256" si="213">+I251*G251</f>
        <v>11.962236000000001</v>
      </c>
      <c r="K251" s="151">
        <f>'LABOR SHEET'!C$9</f>
        <v>70.3</v>
      </c>
      <c r="L251" s="150">
        <f t="shared" ref="L251:L256" si="214">I251*K251</f>
        <v>1.8278000000000001</v>
      </c>
      <c r="M251" s="150">
        <f t="shared" ref="M251:M256" si="215">K251*J251</f>
        <v>840.94519079999998</v>
      </c>
      <c r="N251" s="150">
        <v>0.55000000000000004</v>
      </c>
      <c r="O251" s="150">
        <f t="shared" ref="O251:O256" si="216">N251*G251</f>
        <v>253.04730000000001</v>
      </c>
      <c r="P251" s="150">
        <f t="shared" ref="P251:P256" si="217">(I251*K251)+N251</f>
        <v>2.3778000000000001</v>
      </c>
      <c r="Q251" s="104">
        <f t="shared" ref="Q251:Q256" si="218">P251*G251</f>
        <v>1093.9924908</v>
      </c>
    </row>
    <row r="252" spans="1:36" s="31" customFormat="1" ht="62.4">
      <c r="A252" s="131">
        <f>IF(F252&lt;&gt;"",1+MAX($A$2:A251),"")</f>
        <v>180</v>
      </c>
      <c r="B252" s="356"/>
      <c r="C252" s="188"/>
      <c r="D252" s="167" t="s">
        <v>213</v>
      </c>
      <c r="E252" s="134">
        <v>513.52</v>
      </c>
      <c r="F252" s="176">
        <v>0.1</v>
      </c>
      <c r="G252" s="177">
        <f t="shared" si="201"/>
        <v>564.87199999999996</v>
      </c>
      <c r="H252" s="188" t="s">
        <v>58</v>
      </c>
      <c r="I252" s="148">
        <v>2.5999999999999999E-2</v>
      </c>
      <c r="J252" s="149">
        <f t="shared" si="213"/>
        <v>14.686672</v>
      </c>
      <c r="K252" s="151">
        <f>'LABOR SHEET'!C$9</f>
        <v>70.3</v>
      </c>
      <c r="L252" s="150">
        <f t="shared" si="214"/>
        <v>1.8278000000000001</v>
      </c>
      <c r="M252" s="150">
        <f t="shared" si="215"/>
        <v>1032.4730416</v>
      </c>
      <c r="N252" s="150">
        <v>0.55000000000000004</v>
      </c>
      <c r="O252" s="150">
        <f t="shared" si="216"/>
        <v>310.67959999999999</v>
      </c>
      <c r="P252" s="150">
        <f t="shared" si="217"/>
        <v>2.3778000000000001</v>
      </c>
      <c r="Q252" s="104">
        <f t="shared" si="218"/>
        <v>1343.1526415999999</v>
      </c>
    </row>
    <row r="253" spans="1:36" s="31" customFormat="1" ht="62.4">
      <c r="A253" s="131">
        <f>IF(F253&lt;&gt;"",1+MAX($A$2:A252),"")</f>
        <v>181</v>
      </c>
      <c r="B253" s="356"/>
      <c r="C253" s="188"/>
      <c r="D253" s="167" t="s">
        <v>214</v>
      </c>
      <c r="E253" s="164">
        <v>655.05999999999995</v>
      </c>
      <c r="F253" s="176">
        <v>0.1</v>
      </c>
      <c r="G253" s="177">
        <f t="shared" si="201"/>
        <v>720.56600000000003</v>
      </c>
      <c r="H253" s="188" t="s">
        <v>58</v>
      </c>
      <c r="I253" s="148">
        <v>2.5999999999999999E-2</v>
      </c>
      <c r="J253" s="149">
        <f t="shared" si="213"/>
        <v>18.734715999999999</v>
      </c>
      <c r="K253" s="151">
        <f>'LABOR SHEET'!C$9</f>
        <v>70.3</v>
      </c>
      <c r="L253" s="150">
        <f t="shared" si="214"/>
        <v>1.8278000000000001</v>
      </c>
      <c r="M253" s="150">
        <f t="shared" si="215"/>
        <v>1317.0505347999999</v>
      </c>
      <c r="N253" s="150">
        <v>0.55000000000000004</v>
      </c>
      <c r="O253" s="150">
        <f t="shared" si="216"/>
        <v>396.31130000000002</v>
      </c>
      <c r="P253" s="150">
        <f t="shared" si="217"/>
        <v>2.3778000000000001</v>
      </c>
      <c r="Q253" s="104">
        <f t="shared" si="218"/>
        <v>1713.3618348</v>
      </c>
    </row>
    <row r="254" spans="1:36" s="31" customFormat="1" ht="62.4">
      <c r="A254" s="131">
        <f>IF(F254&lt;&gt;"",1+MAX($A$2:A253),"")</f>
        <v>182</v>
      </c>
      <c r="B254" s="356"/>
      <c r="C254" s="188"/>
      <c r="D254" s="167" t="s">
        <v>215</v>
      </c>
      <c r="E254" s="134">
        <v>409.42</v>
      </c>
      <c r="F254" s="176">
        <v>0.1</v>
      </c>
      <c r="G254" s="177">
        <f t="shared" si="201"/>
        <v>450.36200000000002</v>
      </c>
      <c r="H254" s="188" t="s">
        <v>58</v>
      </c>
      <c r="I254" s="148">
        <v>2.5999999999999999E-2</v>
      </c>
      <c r="J254" s="149">
        <f t="shared" si="213"/>
        <v>11.709412</v>
      </c>
      <c r="K254" s="151">
        <f>'LABOR SHEET'!C$9</f>
        <v>70.3</v>
      </c>
      <c r="L254" s="150">
        <f t="shared" si="214"/>
        <v>1.8278000000000001</v>
      </c>
      <c r="M254" s="150">
        <f t="shared" si="215"/>
        <v>823.17166359999999</v>
      </c>
      <c r="N254" s="150">
        <v>0.55000000000000004</v>
      </c>
      <c r="O254" s="150">
        <f t="shared" si="216"/>
        <v>247.69909999999999</v>
      </c>
      <c r="P254" s="150">
        <f t="shared" si="217"/>
        <v>2.3778000000000001</v>
      </c>
      <c r="Q254" s="104">
        <f t="shared" si="218"/>
        <v>1070.8707635999999</v>
      </c>
    </row>
    <row r="255" spans="1:36" s="31" customFormat="1" ht="62.4">
      <c r="A255" s="131">
        <f>IF(F255&lt;&gt;"",1+MAX($A$2:A254),"")</f>
        <v>183</v>
      </c>
      <c r="B255" s="356"/>
      <c r="C255" s="188"/>
      <c r="D255" s="167" t="s">
        <v>216</v>
      </c>
      <c r="E255" s="164">
        <v>12046.93</v>
      </c>
      <c r="F255" s="176">
        <v>0.1</v>
      </c>
      <c r="G255" s="177">
        <f t="shared" si="201"/>
        <v>13251.623</v>
      </c>
      <c r="H255" s="188" t="s">
        <v>58</v>
      </c>
      <c r="I255" s="148">
        <v>2.5999999999999999E-2</v>
      </c>
      <c r="J255" s="149">
        <f t="shared" si="213"/>
        <v>344.54219799999998</v>
      </c>
      <c r="K255" s="151">
        <f>'LABOR SHEET'!C$9</f>
        <v>70.3</v>
      </c>
      <c r="L255" s="150">
        <f t="shared" si="214"/>
        <v>1.8278000000000001</v>
      </c>
      <c r="M255" s="150">
        <f t="shared" si="215"/>
        <v>24221.316519399999</v>
      </c>
      <c r="N255" s="150">
        <v>0.55000000000000004</v>
      </c>
      <c r="O255" s="150">
        <f t="shared" si="216"/>
        <v>7288.3926499999998</v>
      </c>
      <c r="P255" s="150">
        <f t="shared" si="217"/>
        <v>2.3778000000000001</v>
      </c>
      <c r="Q255" s="104">
        <f t="shared" si="218"/>
        <v>31509.709169400001</v>
      </c>
    </row>
    <row r="256" spans="1:36" s="31" customFormat="1" ht="62.4">
      <c r="A256" s="131">
        <f>IF(F256&lt;&gt;"",1+MAX($A$2:A255),"")</f>
        <v>184</v>
      </c>
      <c r="B256" s="356"/>
      <c r="C256" s="188"/>
      <c r="D256" s="167" t="s">
        <v>217</v>
      </c>
      <c r="E256" s="134">
        <v>1019.09</v>
      </c>
      <c r="F256" s="176">
        <v>0.1</v>
      </c>
      <c r="G256" s="177">
        <f t="shared" si="201"/>
        <v>1120.999</v>
      </c>
      <c r="H256" s="188" t="s">
        <v>58</v>
      </c>
      <c r="I256" s="148">
        <v>2.5999999999999999E-2</v>
      </c>
      <c r="J256" s="149">
        <f t="shared" si="213"/>
        <v>29.145973999999999</v>
      </c>
      <c r="K256" s="151">
        <f>'LABOR SHEET'!C$9</f>
        <v>70.3</v>
      </c>
      <c r="L256" s="150">
        <f t="shared" si="214"/>
        <v>1.8278000000000001</v>
      </c>
      <c r="M256" s="150">
        <f t="shared" si="215"/>
        <v>2048.9619722000002</v>
      </c>
      <c r="N256" s="150">
        <v>0.55000000000000004</v>
      </c>
      <c r="O256" s="150">
        <f t="shared" si="216"/>
        <v>616.54944999999998</v>
      </c>
      <c r="P256" s="150">
        <f t="shared" si="217"/>
        <v>2.3778000000000001</v>
      </c>
      <c r="Q256" s="104">
        <f t="shared" si="218"/>
        <v>2665.5114222000002</v>
      </c>
    </row>
    <row r="257" spans="1:36" s="31" customFormat="1">
      <c r="A257" s="131" t="str">
        <f>IF(F257&lt;&gt;"",1+MAX($A$2:A256),"")</f>
        <v/>
      </c>
      <c r="B257" s="356"/>
      <c r="C257" s="188"/>
      <c r="D257" s="167"/>
      <c r="E257" s="164"/>
      <c r="F257" s="176"/>
      <c r="G257" s="177"/>
      <c r="H257" s="188"/>
      <c r="I257" s="148"/>
      <c r="J257" s="149"/>
      <c r="K257" s="151"/>
      <c r="L257" s="150"/>
      <c r="M257" s="150"/>
      <c r="N257" s="150"/>
      <c r="O257" s="150"/>
      <c r="P257" s="150"/>
      <c r="Q257" s="152"/>
    </row>
    <row r="258" spans="1:36" s="31" customFormat="1">
      <c r="A258" s="131" t="str">
        <f>IF(F258&lt;&gt;"",1+MAX($A$2:A257),"")</f>
        <v/>
      </c>
      <c r="B258" s="356"/>
      <c r="C258" s="134"/>
      <c r="D258" s="160" t="s">
        <v>218</v>
      </c>
      <c r="E258" s="173"/>
      <c r="F258" s="173"/>
      <c r="G258" s="173"/>
      <c r="H258" s="173"/>
      <c r="I258" s="148"/>
      <c r="J258" s="188"/>
      <c r="K258" s="188"/>
      <c r="L258" s="150"/>
      <c r="M258" s="150"/>
      <c r="N258" s="150"/>
      <c r="O258" s="150"/>
      <c r="P258" s="150"/>
      <c r="Q258" s="152"/>
      <c r="R258" s="203"/>
      <c r="S258" s="203"/>
      <c r="T258" s="203"/>
      <c r="U258" s="203"/>
      <c r="V258" s="203"/>
      <c r="W258" s="203"/>
      <c r="X258" s="203"/>
      <c r="Y258" s="203"/>
      <c r="Z258" s="203"/>
      <c r="AA258" s="203"/>
      <c r="AB258" s="203"/>
      <c r="AC258" s="203"/>
      <c r="AD258" s="203"/>
      <c r="AE258" s="203"/>
      <c r="AF258" s="203"/>
      <c r="AG258" s="203"/>
      <c r="AH258" s="203"/>
      <c r="AI258" s="203"/>
      <c r="AJ258" s="203"/>
    </row>
    <row r="259" spans="1:36" s="31" customFormat="1">
      <c r="A259" s="131">
        <f>IF(F259&lt;&gt;"",1+MAX($A$2:A258),"")</f>
        <v>185</v>
      </c>
      <c r="B259" s="356"/>
      <c r="C259" s="188"/>
      <c r="D259" s="126" t="s">
        <v>219</v>
      </c>
      <c r="E259" s="185">
        <v>40</v>
      </c>
      <c r="F259" s="176">
        <v>0</v>
      </c>
      <c r="G259" s="177">
        <f t="shared" ref="G259:G264" si="219">E259*(1+F259)</f>
        <v>40</v>
      </c>
      <c r="H259" s="188" t="s">
        <v>81</v>
      </c>
      <c r="I259" s="148">
        <v>1.1000000000000001</v>
      </c>
      <c r="J259" s="149">
        <f t="shared" ref="J259:J264" si="220">+I259*G259</f>
        <v>44</v>
      </c>
      <c r="K259" s="151">
        <v>50</v>
      </c>
      <c r="L259" s="150">
        <f t="shared" ref="L259:L264" si="221">I259*K259</f>
        <v>55</v>
      </c>
      <c r="M259" s="150">
        <f t="shared" ref="M259:M264" si="222">K259*J259</f>
        <v>2200</v>
      </c>
      <c r="N259" s="150">
        <v>35.1</v>
      </c>
      <c r="O259" s="150">
        <f t="shared" ref="O259:O264" si="223">N259*G259</f>
        <v>1404</v>
      </c>
      <c r="P259" s="150">
        <f t="shared" ref="P259:P264" si="224">(I259*K259)+N259</f>
        <v>90.1</v>
      </c>
      <c r="Q259" s="104">
        <f t="shared" ref="Q259:Q264" si="225">P259*G259</f>
        <v>3604</v>
      </c>
    </row>
    <row r="260" spans="1:36" s="31" customFormat="1">
      <c r="A260" s="131">
        <f>IF(F260&lt;&gt;"",1+MAX($A$2:A259),"")</f>
        <v>186</v>
      </c>
      <c r="B260" s="356"/>
      <c r="C260" s="188"/>
      <c r="D260" s="126" t="s">
        <v>220</v>
      </c>
      <c r="E260" s="185">
        <v>1258</v>
      </c>
      <c r="F260" s="176">
        <v>0.05</v>
      </c>
      <c r="G260" s="177">
        <f t="shared" si="219"/>
        <v>1320.9</v>
      </c>
      <c r="H260" s="188" t="s">
        <v>71</v>
      </c>
      <c r="I260" s="148">
        <v>1.7999999999999999E-2</v>
      </c>
      <c r="J260" s="149">
        <f t="shared" si="220"/>
        <v>23.776199999999999</v>
      </c>
      <c r="K260" s="151">
        <v>50</v>
      </c>
      <c r="L260" s="150">
        <f t="shared" si="221"/>
        <v>0.9</v>
      </c>
      <c r="M260" s="150">
        <f t="shared" si="222"/>
        <v>1188.81</v>
      </c>
      <c r="N260" s="150">
        <v>1.2</v>
      </c>
      <c r="O260" s="150">
        <f t="shared" si="223"/>
        <v>1585.08</v>
      </c>
      <c r="P260" s="150">
        <f t="shared" si="224"/>
        <v>2.1</v>
      </c>
      <c r="Q260" s="104">
        <f t="shared" si="225"/>
        <v>2773.89</v>
      </c>
    </row>
    <row r="261" spans="1:36" s="31" customFormat="1">
      <c r="A261" s="131">
        <f>IF(F261&lt;&gt;"",1+MAX($A$2:A260),"")</f>
        <v>187</v>
      </c>
      <c r="B261" s="356"/>
      <c r="C261" s="188"/>
      <c r="D261" s="126" t="s">
        <v>221</v>
      </c>
      <c r="E261" s="185">
        <v>1925</v>
      </c>
      <c r="F261" s="176">
        <v>0.05</v>
      </c>
      <c r="G261" s="177">
        <f t="shared" si="219"/>
        <v>2021.25</v>
      </c>
      <c r="H261" s="188" t="s">
        <v>71</v>
      </c>
      <c r="I261" s="148">
        <v>1.7999999999999999E-2</v>
      </c>
      <c r="J261" s="149">
        <f t="shared" si="220"/>
        <v>36.3825</v>
      </c>
      <c r="K261" s="151">
        <v>50</v>
      </c>
      <c r="L261" s="150">
        <f t="shared" si="221"/>
        <v>0.9</v>
      </c>
      <c r="M261" s="150">
        <f t="shared" si="222"/>
        <v>1819.125</v>
      </c>
      <c r="N261" s="150">
        <v>1.2</v>
      </c>
      <c r="O261" s="150">
        <f t="shared" si="223"/>
        <v>2425.5</v>
      </c>
      <c r="P261" s="150">
        <f t="shared" si="224"/>
        <v>2.1</v>
      </c>
      <c r="Q261" s="104">
        <f t="shared" si="225"/>
        <v>4244.625</v>
      </c>
    </row>
    <row r="262" spans="1:36" s="31" customFormat="1">
      <c r="A262" s="131">
        <f>IF(F262&lt;&gt;"",1+MAX($A$2:A261),"")</f>
        <v>188</v>
      </c>
      <c r="B262" s="356"/>
      <c r="C262" s="188"/>
      <c r="D262" s="126" t="s">
        <v>222</v>
      </c>
      <c r="E262" s="185">
        <v>382.82</v>
      </c>
      <c r="F262" s="176">
        <v>0.05</v>
      </c>
      <c r="G262" s="177">
        <f t="shared" si="219"/>
        <v>401.96100000000001</v>
      </c>
      <c r="H262" s="188" t="s">
        <v>71</v>
      </c>
      <c r="I262" s="148">
        <v>2.1999999999999999E-2</v>
      </c>
      <c r="J262" s="149">
        <f t="shared" si="220"/>
        <v>8.8431420000000003</v>
      </c>
      <c r="K262" s="151">
        <v>50</v>
      </c>
      <c r="L262" s="150">
        <f t="shared" si="221"/>
        <v>1.1000000000000001</v>
      </c>
      <c r="M262" s="150">
        <f t="shared" si="222"/>
        <v>442.15710000000001</v>
      </c>
      <c r="N262" s="150">
        <v>1.45</v>
      </c>
      <c r="O262" s="150">
        <f t="shared" si="223"/>
        <v>582.84344999999996</v>
      </c>
      <c r="P262" s="150">
        <f t="shared" si="224"/>
        <v>2.5499999999999998</v>
      </c>
      <c r="Q262" s="104">
        <f t="shared" si="225"/>
        <v>1025.00055</v>
      </c>
    </row>
    <row r="263" spans="1:36" s="31" customFormat="1">
      <c r="A263" s="131">
        <f>IF(F263&lt;&gt;"",1+MAX($A$2:A262),"")</f>
        <v>189</v>
      </c>
      <c r="B263" s="356"/>
      <c r="C263" s="188"/>
      <c r="D263" s="126" t="s">
        <v>223</v>
      </c>
      <c r="E263" s="185">
        <v>81.38</v>
      </c>
      <c r="F263" s="176">
        <v>0.05</v>
      </c>
      <c r="G263" s="177">
        <f t="shared" si="219"/>
        <v>85.448999999999998</v>
      </c>
      <c r="H263" s="188" t="s">
        <v>71</v>
      </c>
      <c r="I263" s="148">
        <v>2.4E-2</v>
      </c>
      <c r="J263" s="149">
        <f t="shared" si="220"/>
        <v>2.0507759999999999</v>
      </c>
      <c r="K263" s="151">
        <v>50</v>
      </c>
      <c r="L263" s="150">
        <f t="shared" si="221"/>
        <v>1.2</v>
      </c>
      <c r="M263" s="150">
        <f t="shared" si="222"/>
        <v>102.53879999999999</v>
      </c>
      <c r="N263" s="150">
        <v>1.55</v>
      </c>
      <c r="O263" s="150">
        <f t="shared" si="223"/>
        <v>132.44595000000001</v>
      </c>
      <c r="P263" s="150">
        <f t="shared" si="224"/>
        <v>2.75</v>
      </c>
      <c r="Q263" s="104">
        <f t="shared" si="225"/>
        <v>234.98474999999999</v>
      </c>
    </row>
    <row r="264" spans="1:36" s="31" customFormat="1">
      <c r="A264" s="131">
        <f>IF(F264&lt;&gt;"",1+MAX($A$2:A263),"")</f>
        <v>190</v>
      </c>
      <c r="B264" s="357"/>
      <c r="C264" s="188"/>
      <c r="D264" s="126" t="s">
        <v>224</v>
      </c>
      <c r="E264" s="185">
        <v>81.38</v>
      </c>
      <c r="F264" s="176">
        <v>0.05</v>
      </c>
      <c r="G264" s="177">
        <f t="shared" si="219"/>
        <v>85.448999999999998</v>
      </c>
      <c r="H264" s="188" t="s">
        <v>71</v>
      </c>
      <c r="I264" s="148">
        <v>6.7000000000000004E-2</v>
      </c>
      <c r="J264" s="149">
        <f t="shared" si="220"/>
        <v>5.7250829999999997</v>
      </c>
      <c r="K264" s="151">
        <v>50</v>
      </c>
      <c r="L264" s="150">
        <f t="shared" si="221"/>
        <v>3.35</v>
      </c>
      <c r="M264" s="150">
        <f t="shared" si="222"/>
        <v>286.25414999999998</v>
      </c>
      <c r="N264" s="150">
        <v>2.7</v>
      </c>
      <c r="O264" s="150">
        <f t="shared" si="223"/>
        <v>230.7123</v>
      </c>
      <c r="P264" s="150">
        <f t="shared" si="224"/>
        <v>6.05</v>
      </c>
      <c r="Q264" s="104">
        <f t="shared" si="225"/>
        <v>516.96645000000001</v>
      </c>
    </row>
    <row r="265" spans="1:36" s="31" customFormat="1">
      <c r="A265" s="131" t="str">
        <f>IF(F265&lt;&gt;"",1+MAX($A$2:A264),"")</f>
        <v/>
      </c>
      <c r="B265" s="208"/>
      <c r="C265" s="209"/>
      <c r="D265" s="126"/>
      <c r="E265" s="210"/>
      <c r="F265" s="211"/>
      <c r="G265" s="212"/>
      <c r="H265" s="213"/>
      <c r="I265" s="241"/>
      <c r="J265" s="149"/>
      <c r="K265" s="151"/>
      <c r="L265" s="242"/>
      <c r="M265" s="242"/>
      <c r="N265" s="242"/>
      <c r="O265" s="242"/>
      <c r="P265" s="242"/>
      <c r="Q265" s="153"/>
    </row>
    <row r="266" spans="1:36" s="31" customFormat="1">
      <c r="A266" s="131" t="str">
        <f>IF(F266&lt;&gt;"",1+MAX($A$2:A265),"")</f>
        <v/>
      </c>
      <c r="B266" s="214"/>
      <c r="C266" s="215"/>
      <c r="D266" s="71" t="s">
        <v>53</v>
      </c>
      <c r="E266" s="216"/>
      <c r="F266" s="216"/>
      <c r="G266" s="217"/>
      <c r="H266" s="216"/>
      <c r="I266" s="216"/>
      <c r="J266" s="192"/>
      <c r="K266" s="192"/>
      <c r="L266" s="243"/>
      <c r="M266" s="194"/>
      <c r="N266" s="243"/>
      <c r="O266" s="243"/>
      <c r="P266" s="244"/>
      <c r="Q266" s="252">
        <f>SUM(Q143:Q264)</f>
        <v>249600.964793486</v>
      </c>
    </row>
    <row r="267" spans="1:36" s="31" customFormat="1">
      <c r="A267" s="131" t="str">
        <f>IF(F267&lt;&gt;"",1+MAX($A$2:A266),"")</f>
        <v/>
      </c>
      <c r="B267" s="218"/>
      <c r="C267" s="218"/>
      <c r="D267" s="218"/>
      <c r="E267" s="218"/>
      <c r="F267" s="218"/>
      <c r="G267" s="218"/>
      <c r="H267" s="218"/>
      <c r="I267" s="218"/>
      <c r="J267" s="218"/>
      <c r="K267" s="218"/>
      <c r="L267" s="218"/>
      <c r="M267" s="218"/>
      <c r="N267" s="218"/>
      <c r="O267" s="218"/>
      <c r="P267" s="218"/>
      <c r="Q267" s="253"/>
    </row>
    <row r="268" spans="1:36" s="32" customFormat="1">
      <c r="A268" s="131" t="str">
        <f>IF(F268&lt;&gt;"",1+MAX($A$2:A267),"")</f>
        <v/>
      </c>
      <c r="B268" s="48"/>
      <c r="C268" s="48">
        <v>10</v>
      </c>
      <c r="D268" s="219" t="s">
        <v>225</v>
      </c>
      <c r="E268" s="121"/>
      <c r="F268" s="121"/>
      <c r="G268" s="121"/>
      <c r="H268" s="121"/>
      <c r="I268" s="121"/>
      <c r="J268" s="121"/>
      <c r="K268" s="121"/>
      <c r="L268" s="121" t="s">
        <v>166</v>
      </c>
      <c r="M268" s="121"/>
      <c r="N268" s="121"/>
      <c r="O268" s="121"/>
      <c r="P268" s="121"/>
      <c r="Q268" s="157"/>
      <c r="S268" s="254"/>
    </row>
    <row r="269" spans="1:36" s="32" customFormat="1">
      <c r="A269" s="131" t="str">
        <f>IF(F269&lt;&gt;"",1+MAX($A$2:A268),"")</f>
        <v/>
      </c>
      <c r="B269" s="358" t="s">
        <v>226</v>
      </c>
      <c r="C269" s="220"/>
      <c r="D269" s="221" t="s">
        <v>227</v>
      </c>
      <c r="E269" s="164"/>
      <c r="F269" s="164"/>
      <c r="G269" s="164"/>
      <c r="H269" s="164"/>
      <c r="I269" s="245"/>
      <c r="J269" s="246"/>
      <c r="K269" s="247"/>
      <c r="L269" s="150"/>
      <c r="M269" s="150"/>
      <c r="N269" s="150"/>
      <c r="O269" s="150"/>
      <c r="P269" s="150"/>
      <c r="Q269" s="152"/>
    </row>
    <row r="270" spans="1:36" s="32" customFormat="1" ht="62.4">
      <c r="A270" s="131">
        <f>IF(F270&lt;&gt;"",1+MAX($A$2:A269),"")</f>
        <v>191</v>
      </c>
      <c r="B270" s="358"/>
      <c r="C270" s="220"/>
      <c r="D270" s="222" t="s">
        <v>228</v>
      </c>
      <c r="E270" s="206">
        <v>40.909999999999997</v>
      </c>
      <c r="F270" s="176">
        <v>0.05</v>
      </c>
      <c r="G270" s="177">
        <f t="shared" ref="G270:G272" si="226">E270*(1+F270)</f>
        <v>42.955500000000001</v>
      </c>
      <c r="H270" s="164" t="s">
        <v>71</v>
      </c>
      <c r="I270" s="148">
        <f>0.14*5</f>
        <v>0.7</v>
      </c>
      <c r="J270" s="149">
        <f t="shared" ref="J270" si="227">+I270*G270</f>
        <v>30.068850000000001</v>
      </c>
      <c r="K270" s="151">
        <f>'LABOR SHEET'!C$13</f>
        <v>60</v>
      </c>
      <c r="L270" s="150">
        <f t="shared" ref="L270" si="228">I270*K270</f>
        <v>42</v>
      </c>
      <c r="M270" s="150">
        <f t="shared" ref="M270" si="229">K270*J270</f>
        <v>1804.1310000000001</v>
      </c>
      <c r="N270" s="150">
        <f>20*5</f>
        <v>100</v>
      </c>
      <c r="O270" s="150">
        <f t="shared" ref="O270" si="230">N270*G270</f>
        <v>4295.55</v>
      </c>
      <c r="P270" s="150">
        <f t="shared" ref="P270" si="231">(I270*K270)+N270</f>
        <v>142</v>
      </c>
      <c r="Q270" s="104">
        <f t="shared" ref="Q270" si="232">P270*G270</f>
        <v>6099.6809999999996</v>
      </c>
    </row>
    <row r="271" spans="1:36" s="32" customFormat="1" ht="78">
      <c r="A271" s="131">
        <f>IF(F271&lt;&gt;"",1+MAX($A$2:A270),"")</f>
        <v>192</v>
      </c>
      <c r="B271" s="358"/>
      <c r="C271" s="220"/>
      <c r="D271" s="222" t="s">
        <v>229</v>
      </c>
      <c r="E271" s="164">
        <v>6</v>
      </c>
      <c r="F271" s="176">
        <v>0</v>
      </c>
      <c r="G271" s="177">
        <f t="shared" si="226"/>
        <v>6</v>
      </c>
      <c r="H271" s="164" t="s">
        <v>81</v>
      </c>
      <c r="I271" s="148">
        <v>0.6</v>
      </c>
      <c r="J271" s="149">
        <f t="shared" ref="J271:J281" si="233">+I271*G271</f>
        <v>3.6</v>
      </c>
      <c r="K271" s="151">
        <f>'LABOR SHEET'!C$13</f>
        <v>60</v>
      </c>
      <c r="L271" s="150">
        <f t="shared" ref="L271:L281" si="234">I271*K271</f>
        <v>36</v>
      </c>
      <c r="M271" s="150">
        <f t="shared" ref="M271:M281" si="235">K271*J271</f>
        <v>216</v>
      </c>
      <c r="N271" s="150">
        <v>110.75</v>
      </c>
      <c r="O271" s="150">
        <f t="shared" ref="O271:O281" si="236">N271*G271</f>
        <v>664.5</v>
      </c>
      <c r="P271" s="150">
        <f t="shared" ref="P271:P281" si="237">(I271*K271)+N271</f>
        <v>146.75</v>
      </c>
      <c r="Q271" s="104">
        <f t="shared" ref="Q271:Q281" si="238">P271*G271</f>
        <v>880.5</v>
      </c>
    </row>
    <row r="272" spans="1:36" s="32" customFormat="1" ht="78">
      <c r="A272" s="131">
        <f>IF(F272&lt;&gt;"",1+MAX($A$2:A271),"")</f>
        <v>193</v>
      </c>
      <c r="B272" s="358"/>
      <c r="C272" s="220"/>
      <c r="D272" s="223" t="s">
        <v>230</v>
      </c>
      <c r="E272" s="164">
        <v>6</v>
      </c>
      <c r="F272" s="176">
        <v>0</v>
      </c>
      <c r="G272" s="177">
        <f t="shared" si="226"/>
        <v>6</v>
      </c>
      <c r="H272" s="164" t="s">
        <v>81</v>
      </c>
      <c r="I272" s="148">
        <v>0.55000000000000004</v>
      </c>
      <c r="J272" s="149">
        <f t="shared" si="233"/>
        <v>3.3</v>
      </c>
      <c r="K272" s="151">
        <f>'LABOR SHEET'!C$13</f>
        <v>60</v>
      </c>
      <c r="L272" s="150">
        <f t="shared" si="234"/>
        <v>33</v>
      </c>
      <c r="M272" s="150">
        <f t="shared" si="235"/>
        <v>198</v>
      </c>
      <c r="N272" s="150">
        <v>121.62</v>
      </c>
      <c r="O272" s="150">
        <f t="shared" si="236"/>
        <v>729.72</v>
      </c>
      <c r="P272" s="150">
        <f t="shared" si="237"/>
        <v>154.62</v>
      </c>
      <c r="Q272" s="104">
        <f t="shared" si="238"/>
        <v>927.72</v>
      </c>
    </row>
    <row r="273" spans="1:36" s="32" customFormat="1" ht="93.6">
      <c r="A273" s="131">
        <f>IF(F273&lt;&gt;"",1+MAX($A$2:A272),"")</f>
        <v>194</v>
      </c>
      <c r="B273" s="358"/>
      <c r="C273" s="220"/>
      <c r="D273" s="222" t="s">
        <v>231</v>
      </c>
      <c r="E273" s="164">
        <v>4</v>
      </c>
      <c r="F273" s="176">
        <v>0</v>
      </c>
      <c r="G273" s="177">
        <f t="shared" ref="G273:G281" si="239">E273*(1+F273)</f>
        <v>4</v>
      </c>
      <c r="H273" s="164" t="s">
        <v>81</v>
      </c>
      <c r="I273" s="148">
        <v>0.55000000000000004</v>
      </c>
      <c r="J273" s="149">
        <f t="shared" si="233"/>
        <v>2.2000000000000002</v>
      </c>
      <c r="K273" s="151">
        <f>'LABOR SHEET'!C$13</f>
        <v>60</v>
      </c>
      <c r="L273" s="150">
        <f t="shared" si="234"/>
        <v>33</v>
      </c>
      <c r="M273" s="150">
        <f t="shared" si="235"/>
        <v>132</v>
      </c>
      <c r="N273" s="150">
        <v>55.2</v>
      </c>
      <c r="O273" s="150">
        <f t="shared" si="236"/>
        <v>220.8</v>
      </c>
      <c r="P273" s="150">
        <f t="shared" si="237"/>
        <v>88.2</v>
      </c>
      <c r="Q273" s="104">
        <f t="shared" si="238"/>
        <v>352.8</v>
      </c>
    </row>
    <row r="274" spans="1:36" s="32" customFormat="1" ht="93.6">
      <c r="A274" s="131">
        <f>IF(F274&lt;&gt;"",1+MAX($A$2:A273),"")</f>
        <v>195</v>
      </c>
      <c r="B274" s="358"/>
      <c r="C274" s="220"/>
      <c r="D274" s="222" t="s">
        <v>232</v>
      </c>
      <c r="E274" s="164">
        <v>4</v>
      </c>
      <c r="F274" s="176">
        <v>0</v>
      </c>
      <c r="G274" s="177">
        <f t="shared" si="239"/>
        <v>4</v>
      </c>
      <c r="H274" s="164" t="s">
        <v>81</v>
      </c>
      <c r="I274" s="148">
        <v>0.6</v>
      </c>
      <c r="J274" s="149">
        <f t="shared" si="233"/>
        <v>2.4</v>
      </c>
      <c r="K274" s="151">
        <f>'LABOR SHEET'!C$13</f>
        <v>60</v>
      </c>
      <c r="L274" s="150">
        <f t="shared" si="234"/>
        <v>36</v>
      </c>
      <c r="M274" s="150">
        <f t="shared" si="235"/>
        <v>144</v>
      </c>
      <c r="N274" s="150">
        <v>60.55</v>
      </c>
      <c r="O274" s="150">
        <f t="shared" si="236"/>
        <v>242.2</v>
      </c>
      <c r="P274" s="150">
        <f t="shared" si="237"/>
        <v>96.55</v>
      </c>
      <c r="Q274" s="104">
        <f t="shared" si="238"/>
        <v>386.2</v>
      </c>
    </row>
    <row r="275" spans="1:36" s="32" customFormat="1" ht="78">
      <c r="A275" s="131">
        <f>IF(F275&lt;&gt;"",1+MAX($A$2:A274),"")</f>
        <v>196</v>
      </c>
      <c r="B275" s="358"/>
      <c r="C275" s="220"/>
      <c r="D275" s="223" t="s">
        <v>233</v>
      </c>
      <c r="E275" s="164">
        <v>4</v>
      </c>
      <c r="F275" s="176">
        <v>0</v>
      </c>
      <c r="G275" s="177">
        <f t="shared" si="239"/>
        <v>4</v>
      </c>
      <c r="H275" s="164" t="s">
        <v>81</v>
      </c>
      <c r="I275" s="148">
        <v>1.22</v>
      </c>
      <c r="J275" s="149">
        <f t="shared" si="233"/>
        <v>4.88</v>
      </c>
      <c r="K275" s="151">
        <f>'LABOR SHEET'!C$13</f>
        <v>60</v>
      </c>
      <c r="L275" s="150">
        <f t="shared" si="234"/>
        <v>73.2</v>
      </c>
      <c r="M275" s="150">
        <f t="shared" si="235"/>
        <v>292.8</v>
      </c>
      <c r="N275" s="150">
        <v>104.22</v>
      </c>
      <c r="O275" s="150">
        <f t="shared" si="236"/>
        <v>416.88</v>
      </c>
      <c r="P275" s="150">
        <f t="shared" si="237"/>
        <v>177.42</v>
      </c>
      <c r="Q275" s="104">
        <f t="shared" si="238"/>
        <v>709.68</v>
      </c>
    </row>
    <row r="276" spans="1:36" s="32" customFormat="1" ht="78">
      <c r="A276" s="131">
        <f>IF(F276&lt;&gt;"",1+MAX($A$2:A275),"")</f>
        <v>197</v>
      </c>
      <c r="B276" s="358"/>
      <c r="C276" s="220"/>
      <c r="D276" s="223" t="s">
        <v>234</v>
      </c>
      <c r="E276" s="164">
        <v>5</v>
      </c>
      <c r="F276" s="176">
        <v>0</v>
      </c>
      <c r="G276" s="177">
        <f t="shared" si="239"/>
        <v>5</v>
      </c>
      <c r="H276" s="164" t="s">
        <v>81</v>
      </c>
      <c r="I276" s="148">
        <v>0.38</v>
      </c>
      <c r="J276" s="149">
        <f t="shared" si="233"/>
        <v>1.9</v>
      </c>
      <c r="K276" s="151">
        <f>'LABOR SHEET'!C$13</f>
        <v>60</v>
      </c>
      <c r="L276" s="150">
        <f t="shared" si="234"/>
        <v>22.8</v>
      </c>
      <c r="M276" s="150">
        <f t="shared" si="235"/>
        <v>114</v>
      </c>
      <c r="N276" s="150">
        <v>29.5</v>
      </c>
      <c r="O276" s="150">
        <f t="shared" si="236"/>
        <v>147.5</v>
      </c>
      <c r="P276" s="150">
        <f t="shared" si="237"/>
        <v>52.3</v>
      </c>
      <c r="Q276" s="104">
        <f t="shared" si="238"/>
        <v>261.5</v>
      </c>
    </row>
    <row r="277" spans="1:36" s="32" customFormat="1" ht="78">
      <c r="A277" s="131">
        <f>IF(F277&lt;&gt;"",1+MAX($A$2:A276),"")</f>
        <v>198</v>
      </c>
      <c r="B277" s="358"/>
      <c r="C277" s="220"/>
      <c r="D277" s="223" t="s">
        <v>235</v>
      </c>
      <c r="E277" s="164">
        <v>4</v>
      </c>
      <c r="F277" s="176">
        <v>0</v>
      </c>
      <c r="G277" s="177">
        <f t="shared" si="239"/>
        <v>4</v>
      </c>
      <c r="H277" s="164" t="s">
        <v>81</v>
      </c>
      <c r="I277" s="148">
        <v>2.85</v>
      </c>
      <c r="J277" s="149">
        <f t="shared" si="233"/>
        <v>11.4</v>
      </c>
      <c r="K277" s="151">
        <f>'LABOR SHEET'!C$13</f>
        <v>60</v>
      </c>
      <c r="L277" s="150">
        <f t="shared" si="234"/>
        <v>171</v>
      </c>
      <c r="M277" s="150">
        <f t="shared" si="235"/>
        <v>684</v>
      </c>
      <c r="N277" s="150">
        <v>714.31</v>
      </c>
      <c r="O277" s="150">
        <f t="shared" si="236"/>
        <v>2857.24</v>
      </c>
      <c r="P277" s="150">
        <f t="shared" si="237"/>
        <v>885.31</v>
      </c>
      <c r="Q277" s="104">
        <f t="shared" si="238"/>
        <v>3541.24</v>
      </c>
    </row>
    <row r="278" spans="1:36" s="32" customFormat="1" ht="78">
      <c r="A278" s="131">
        <f>IF(F278&lt;&gt;"",1+MAX($A$2:A277),"")</f>
        <v>199</v>
      </c>
      <c r="B278" s="358"/>
      <c r="C278" s="220"/>
      <c r="D278" s="223" t="s">
        <v>236</v>
      </c>
      <c r="E278" s="164">
        <v>6</v>
      </c>
      <c r="F278" s="176">
        <v>0</v>
      </c>
      <c r="G278" s="177">
        <f t="shared" si="239"/>
        <v>6</v>
      </c>
      <c r="H278" s="164" t="s">
        <v>81</v>
      </c>
      <c r="I278" s="148">
        <v>0.5</v>
      </c>
      <c r="J278" s="149">
        <f t="shared" si="233"/>
        <v>3</v>
      </c>
      <c r="K278" s="151">
        <f>'LABOR SHEET'!C$13</f>
        <v>60</v>
      </c>
      <c r="L278" s="150">
        <f t="shared" si="234"/>
        <v>30</v>
      </c>
      <c r="M278" s="150">
        <f t="shared" si="235"/>
        <v>180</v>
      </c>
      <c r="N278" s="150">
        <v>38.369999999999997</v>
      </c>
      <c r="O278" s="150">
        <f t="shared" si="236"/>
        <v>230.22</v>
      </c>
      <c r="P278" s="150">
        <f t="shared" si="237"/>
        <v>68.37</v>
      </c>
      <c r="Q278" s="104">
        <f t="shared" si="238"/>
        <v>410.22</v>
      </c>
    </row>
    <row r="279" spans="1:36" s="32" customFormat="1" ht="78">
      <c r="A279" s="131">
        <f>IF(F279&lt;&gt;"",1+MAX($A$2:A278),"")</f>
        <v>200</v>
      </c>
      <c r="B279" s="358"/>
      <c r="C279" s="220"/>
      <c r="D279" s="223" t="s">
        <v>237</v>
      </c>
      <c r="E279" s="164">
        <v>2</v>
      </c>
      <c r="F279" s="176">
        <v>0</v>
      </c>
      <c r="G279" s="177">
        <f t="shared" si="239"/>
        <v>2</v>
      </c>
      <c r="H279" s="164" t="s">
        <v>81</v>
      </c>
      <c r="I279" s="148">
        <v>3.66</v>
      </c>
      <c r="J279" s="149">
        <f t="shared" si="233"/>
        <v>7.32</v>
      </c>
      <c r="K279" s="151">
        <f>'LABOR SHEET'!C$13</f>
        <v>60</v>
      </c>
      <c r="L279" s="150">
        <f t="shared" si="234"/>
        <v>219.6</v>
      </c>
      <c r="M279" s="150">
        <f t="shared" si="235"/>
        <v>439.2</v>
      </c>
      <c r="N279" s="150">
        <v>411</v>
      </c>
      <c r="O279" s="150">
        <f t="shared" si="236"/>
        <v>822</v>
      </c>
      <c r="P279" s="150">
        <f t="shared" si="237"/>
        <v>630.6</v>
      </c>
      <c r="Q279" s="104">
        <f t="shared" si="238"/>
        <v>1261.2</v>
      </c>
    </row>
    <row r="280" spans="1:36" s="32" customFormat="1" ht="46.8">
      <c r="A280" s="131">
        <f>IF(F280&lt;&gt;"",1+MAX($A$2:A279),"")</f>
        <v>201</v>
      </c>
      <c r="B280" s="358"/>
      <c r="C280" s="220"/>
      <c r="D280" s="223" t="s">
        <v>238</v>
      </c>
      <c r="E280" s="164">
        <v>4</v>
      </c>
      <c r="F280" s="176">
        <v>0</v>
      </c>
      <c r="G280" s="177">
        <f t="shared" si="239"/>
        <v>4</v>
      </c>
      <c r="H280" s="164" t="s">
        <v>81</v>
      </c>
      <c r="I280" s="148">
        <v>0.86</v>
      </c>
      <c r="J280" s="149">
        <f t="shared" si="233"/>
        <v>3.44</v>
      </c>
      <c r="K280" s="151">
        <f>'LABOR SHEET'!C$13</f>
        <v>60</v>
      </c>
      <c r="L280" s="150">
        <f t="shared" si="234"/>
        <v>51.6</v>
      </c>
      <c r="M280" s="150">
        <f t="shared" si="235"/>
        <v>206.4</v>
      </c>
      <c r="N280" s="150">
        <v>0</v>
      </c>
      <c r="O280" s="150">
        <f t="shared" si="236"/>
        <v>0</v>
      </c>
      <c r="P280" s="150">
        <f t="shared" si="237"/>
        <v>51.6</v>
      </c>
      <c r="Q280" s="104">
        <f t="shared" si="238"/>
        <v>206.4</v>
      </c>
    </row>
    <row r="281" spans="1:36" s="32" customFormat="1" ht="62.4">
      <c r="A281" s="131">
        <f>IF(F281&lt;&gt;"",1+MAX($A$2:A280),"")</f>
        <v>202</v>
      </c>
      <c r="B281" s="359"/>
      <c r="C281" s="220"/>
      <c r="D281" s="223" t="s">
        <v>239</v>
      </c>
      <c r="E281" s="164">
        <v>4</v>
      </c>
      <c r="F281" s="176">
        <v>0</v>
      </c>
      <c r="G281" s="177">
        <f t="shared" si="239"/>
        <v>4</v>
      </c>
      <c r="H281" s="164" t="s">
        <v>81</v>
      </c>
      <c r="I281" s="148">
        <v>0.8</v>
      </c>
      <c r="J281" s="149">
        <f t="shared" si="233"/>
        <v>3.2</v>
      </c>
      <c r="K281" s="151">
        <f>'LABOR SHEET'!C$13</f>
        <v>60</v>
      </c>
      <c r="L281" s="150">
        <f t="shared" si="234"/>
        <v>48</v>
      </c>
      <c r="M281" s="150">
        <f t="shared" si="235"/>
        <v>192</v>
      </c>
      <c r="N281" s="150">
        <v>0</v>
      </c>
      <c r="O281" s="150">
        <f t="shared" si="236"/>
        <v>0</v>
      </c>
      <c r="P281" s="150">
        <f t="shared" si="237"/>
        <v>48</v>
      </c>
      <c r="Q281" s="104">
        <f t="shared" si="238"/>
        <v>192</v>
      </c>
    </row>
    <row r="282" spans="1:36" s="32" customFormat="1">
      <c r="A282" s="131" t="str">
        <f>IF(F282&lt;&gt;"",1+MAX($A$2:A281),"")</f>
        <v/>
      </c>
      <c r="B282" s="224"/>
      <c r="C282" s="225"/>
      <c r="D282" s="226"/>
      <c r="E282" s="227"/>
      <c r="F282" s="211"/>
      <c r="G282" s="212"/>
      <c r="H282" s="227"/>
      <c r="I282" s="241"/>
      <c r="J282" s="149"/>
      <c r="K282" s="248"/>
      <c r="L282" s="242"/>
      <c r="M282" s="242"/>
      <c r="N282" s="242"/>
      <c r="O282" s="242"/>
      <c r="P282" s="242"/>
      <c r="Q282" s="153"/>
    </row>
    <row r="283" spans="1:36" s="32" customFormat="1">
      <c r="A283" s="131" t="str">
        <f>IF(F283&lt;&gt;"",1+MAX($A$2:A282),"")</f>
        <v/>
      </c>
      <c r="B283" s="228"/>
      <c r="C283" s="229"/>
      <c r="D283" s="71" t="s">
        <v>53</v>
      </c>
      <c r="E283" s="230"/>
      <c r="F283" s="230"/>
      <c r="G283" s="231"/>
      <c r="H283" s="230"/>
      <c r="I283" s="230"/>
      <c r="J283" s="192"/>
      <c r="K283" s="192"/>
      <c r="L283" s="193"/>
      <c r="M283" s="194"/>
      <c r="N283" s="193"/>
      <c r="O283" s="193"/>
      <c r="P283" s="249"/>
      <c r="Q283" s="199">
        <f>SUM(Q269:Q281)</f>
        <v>15229.141</v>
      </c>
      <c r="S283" s="254"/>
    </row>
    <row r="284" spans="1:36" s="32" customFormat="1">
      <c r="A284" s="131" t="str">
        <f>IF(F284&lt;&gt;"",1+MAX($A$2:A283),"")</f>
        <v/>
      </c>
      <c r="B284" s="232"/>
      <c r="C284" s="232"/>
      <c r="D284" s="233"/>
      <c r="E284" s="233"/>
      <c r="F284" s="233"/>
      <c r="G284" s="233"/>
      <c r="H284" s="233"/>
      <c r="I284" s="233"/>
      <c r="J284" s="233"/>
      <c r="K284" s="233"/>
      <c r="L284" s="233"/>
      <c r="M284" s="233"/>
      <c r="N284" s="233"/>
      <c r="O284" s="233"/>
      <c r="P284" s="233"/>
      <c r="Q284" s="255"/>
      <c r="S284" s="254"/>
    </row>
    <row r="285" spans="1:36" s="32" customFormat="1">
      <c r="A285" s="131" t="str">
        <f>IF(F285&lt;&gt;"",1+MAX($A$2:A284),"")</f>
        <v/>
      </c>
      <c r="B285" s="48"/>
      <c r="C285" s="48">
        <v>12</v>
      </c>
      <c r="D285" s="50" t="s">
        <v>240</v>
      </c>
      <c r="E285" s="48"/>
      <c r="F285" s="48"/>
      <c r="G285" s="48"/>
      <c r="H285" s="48"/>
      <c r="I285" s="48"/>
      <c r="J285" s="48"/>
      <c r="K285" s="48"/>
      <c r="L285" s="48" t="s">
        <v>166</v>
      </c>
      <c r="M285" s="48"/>
      <c r="N285" s="48"/>
      <c r="O285" s="48"/>
      <c r="P285" s="48"/>
      <c r="Q285" s="155"/>
      <c r="S285" s="254"/>
    </row>
    <row r="286" spans="1:36" s="32" customFormat="1">
      <c r="A286" s="131" t="str">
        <f>IF(F286&lt;&gt;"",1+MAX($A$2:A285),"")</f>
        <v/>
      </c>
      <c r="B286" s="352" t="s">
        <v>132</v>
      </c>
      <c r="C286" s="134"/>
      <c r="D286" s="221" t="s">
        <v>241</v>
      </c>
      <c r="E286" s="164"/>
      <c r="F286" s="164"/>
      <c r="G286" s="164"/>
      <c r="H286" s="164"/>
      <c r="I286" s="220"/>
      <c r="J286" s="220"/>
      <c r="K286" s="220"/>
      <c r="L286" s="150"/>
      <c r="M286" s="150"/>
      <c r="N286" s="150"/>
      <c r="O286" s="150"/>
      <c r="P286" s="150"/>
      <c r="Q286" s="152"/>
      <c r="R286" s="203"/>
      <c r="S286" s="203"/>
      <c r="T286" s="203"/>
      <c r="U286" s="203"/>
      <c r="V286" s="203"/>
      <c r="W286" s="203"/>
      <c r="X286" s="203"/>
      <c r="Y286" s="203"/>
      <c r="Z286" s="203"/>
      <c r="AA286" s="203"/>
      <c r="AB286" s="203"/>
      <c r="AC286" s="203"/>
      <c r="AD286" s="203"/>
      <c r="AE286" s="203"/>
      <c r="AF286" s="203"/>
      <c r="AG286" s="203"/>
      <c r="AH286" s="203"/>
      <c r="AI286" s="203"/>
      <c r="AJ286" s="203"/>
    </row>
    <row r="287" spans="1:36" s="32" customFormat="1" ht="62.4">
      <c r="A287" s="131">
        <f>IF(F287&lt;&gt;"",1+MAX($A$2:A286),"")</f>
        <v>203</v>
      </c>
      <c r="B287" s="353"/>
      <c r="C287" s="134"/>
      <c r="D287" s="234" t="s">
        <v>242</v>
      </c>
      <c r="E287" s="134">
        <v>192.41</v>
      </c>
      <c r="F287" s="176">
        <v>0.05</v>
      </c>
      <c r="G287" s="177">
        <f>E287*(1+F287)</f>
        <v>202.03049999999999</v>
      </c>
      <c r="H287" s="164" t="s">
        <v>71</v>
      </c>
      <c r="I287" s="148">
        <v>0.36</v>
      </c>
      <c r="J287" s="149">
        <f t="shared" ref="J287" si="240">+I287*G287</f>
        <v>72.730980000000002</v>
      </c>
      <c r="K287" s="151">
        <f>'LABOR SHEET'!C$8</f>
        <v>75</v>
      </c>
      <c r="L287" s="150">
        <f t="shared" ref="L287" si="241">I287*K287</f>
        <v>27</v>
      </c>
      <c r="M287" s="150">
        <f t="shared" ref="M287" si="242">K287*J287</f>
        <v>5454.8235000000004</v>
      </c>
      <c r="N287" s="150">
        <v>36.65</v>
      </c>
      <c r="O287" s="150">
        <f t="shared" ref="O287" si="243">N287*G287</f>
        <v>7404.4178250000004</v>
      </c>
      <c r="P287" s="150">
        <f t="shared" ref="P287" si="244">(I287*K287)+N287</f>
        <v>63.65</v>
      </c>
      <c r="Q287" s="104">
        <f t="shared" ref="Q287" si="245">P287*G287</f>
        <v>12859.241325000001</v>
      </c>
      <c r="R287" s="203"/>
      <c r="S287" s="203"/>
      <c r="T287" s="203"/>
      <c r="U287" s="203"/>
      <c r="V287" s="203"/>
      <c r="W287" s="203"/>
      <c r="X287" s="203"/>
      <c r="Y287" s="203"/>
      <c r="Z287" s="203"/>
      <c r="AA287" s="203"/>
      <c r="AB287" s="203"/>
      <c r="AC287" s="203"/>
      <c r="AD287" s="203"/>
      <c r="AE287" s="203"/>
      <c r="AF287" s="203"/>
      <c r="AG287" s="203"/>
      <c r="AH287" s="203"/>
      <c r="AI287" s="203"/>
      <c r="AJ287" s="203"/>
    </row>
    <row r="288" spans="1:36" s="32" customFormat="1">
      <c r="A288" s="131" t="str">
        <f>IF(F288&lt;&gt;"",1+MAX($A$2:A287),"")</f>
        <v/>
      </c>
      <c r="B288" s="353"/>
      <c r="C288" s="134"/>
      <c r="D288" s="235"/>
      <c r="E288" s="164"/>
      <c r="F288" s="164"/>
      <c r="G288" s="164"/>
      <c r="H288" s="164"/>
      <c r="I288" s="220"/>
      <c r="J288" s="220"/>
      <c r="K288" s="220"/>
      <c r="L288" s="150"/>
      <c r="M288" s="150"/>
      <c r="N288" s="150"/>
      <c r="O288" s="150"/>
      <c r="P288" s="150"/>
      <c r="Q288" s="152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3"/>
      <c r="AD288" s="203"/>
      <c r="AE288" s="203"/>
      <c r="AF288" s="203"/>
      <c r="AG288" s="203"/>
      <c r="AH288" s="203"/>
      <c r="AI288" s="203"/>
      <c r="AJ288" s="203"/>
    </row>
    <row r="289" spans="1:36" s="32" customFormat="1">
      <c r="A289" s="131" t="str">
        <f>IF(F289&lt;&gt;"",1+MAX($A$2:A288),"")</f>
        <v/>
      </c>
      <c r="B289" s="353"/>
      <c r="C289" s="134"/>
      <c r="D289" s="221" t="s">
        <v>243</v>
      </c>
      <c r="E289" s="164"/>
      <c r="F289" s="164"/>
      <c r="G289" s="164"/>
      <c r="H289" s="164"/>
      <c r="I289" s="220"/>
      <c r="J289" s="220"/>
      <c r="K289" s="220"/>
      <c r="L289" s="150"/>
      <c r="M289" s="150"/>
      <c r="N289" s="150"/>
      <c r="O289" s="150"/>
      <c r="P289" s="150"/>
      <c r="Q289" s="152"/>
      <c r="R289" s="203"/>
      <c r="S289" s="203"/>
      <c r="T289" s="203"/>
      <c r="U289" s="203"/>
      <c r="V289" s="203"/>
      <c r="W289" s="203"/>
      <c r="X289" s="203"/>
      <c r="Y289" s="203"/>
      <c r="Z289" s="203"/>
      <c r="AA289" s="203"/>
      <c r="AB289" s="203"/>
      <c r="AC289" s="203"/>
      <c r="AD289" s="203"/>
      <c r="AE289" s="203"/>
      <c r="AF289" s="203"/>
      <c r="AG289" s="203"/>
      <c r="AH289" s="203"/>
      <c r="AI289" s="203"/>
      <c r="AJ289" s="203"/>
    </row>
    <row r="290" spans="1:36" s="32" customFormat="1">
      <c r="A290" s="131">
        <f>IF(F290&lt;&gt;"",1+MAX($A$2:A289),"")</f>
        <v>204</v>
      </c>
      <c r="B290" s="353"/>
      <c r="C290" s="134"/>
      <c r="D290" s="167" t="s">
        <v>244</v>
      </c>
      <c r="E290" s="134">
        <v>60</v>
      </c>
      <c r="F290" s="176">
        <v>0.05</v>
      </c>
      <c r="G290" s="177">
        <f>E290*(1+F290)</f>
        <v>63</v>
      </c>
      <c r="H290" s="164" t="s">
        <v>71</v>
      </c>
      <c r="I290" s="148">
        <v>0.32</v>
      </c>
      <c r="J290" s="149">
        <f t="shared" ref="J290" si="246">+I290*G290</f>
        <v>20.16</v>
      </c>
      <c r="K290" s="151">
        <f>'LABOR SHEET'!C$8</f>
        <v>75</v>
      </c>
      <c r="L290" s="150">
        <f t="shared" ref="L290" si="247">I290*K290</f>
        <v>24</v>
      </c>
      <c r="M290" s="150">
        <f t="shared" ref="M290" si="248">K290*J290</f>
        <v>1512</v>
      </c>
      <c r="N290" s="150">
        <v>42</v>
      </c>
      <c r="O290" s="150">
        <f t="shared" ref="O290" si="249">N290*G290</f>
        <v>2646</v>
      </c>
      <c r="P290" s="150">
        <f t="shared" ref="P290" si="250">(I290*K290)+N290</f>
        <v>66</v>
      </c>
      <c r="Q290" s="104">
        <f t="shared" ref="Q290" si="251">P290*G290</f>
        <v>4158</v>
      </c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3"/>
      <c r="AC290" s="203"/>
      <c r="AD290" s="203"/>
      <c r="AE290" s="203"/>
      <c r="AF290" s="203"/>
      <c r="AG290" s="203"/>
      <c r="AH290" s="203"/>
      <c r="AI290" s="203"/>
      <c r="AJ290" s="203"/>
    </row>
    <row r="291" spans="1:36" s="32" customFormat="1">
      <c r="A291" s="131" t="str">
        <f>IF(F291&lt;&gt;"",1+MAX($A$2:A290),"")</f>
        <v/>
      </c>
      <c r="B291" s="353"/>
      <c r="C291" s="134"/>
      <c r="D291" s="235"/>
      <c r="E291" s="164"/>
      <c r="F291" s="164"/>
      <c r="G291" s="164"/>
      <c r="H291" s="164"/>
      <c r="I291" s="220"/>
      <c r="J291" s="220"/>
      <c r="K291" s="220"/>
      <c r="L291" s="150"/>
      <c r="M291" s="150"/>
      <c r="N291" s="150"/>
      <c r="O291" s="150"/>
      <c r="P291" s="150"/>
      <c r="Q291" s="152"/>
      <c r="R291" s="203"/>
      <c r="S291" s="203"/>
      <c r="T291" s="203"/>
      <c r="U291" s="203"/>
      <c r="V291" s="203"/>
      <c r="W291" s="203"/>
      <c r="X291" s="203"/>
      <c r="Y291" s="203"/>
      <c r="Z291" s="203"/>
      <c r="AA291" s="203"/>
      <c r="AB291" s="203"/>
      <c r="AC291" s="203"/>
      <c r="AD291" s="203"/>
      <c r="AE291" s="203"/>
      <c r="AF291" s="203"/>
      <c r="AG291" s="203"/>
      <c r="AH291" s="203"/>
      <c r="AI291" s="203"/>
      <c r="AJ291" s="203"/>
    </row>
    <row r="292" spans="1:36" s="32" customFormat="1">
      <c r="A292" s="131" t="str">
        <f>IF(F292&lt;&gt;"",1+MAX($A$2:A291),"")</f>
        <v/>
      </c>
      <c r="B292" s="353"/>
      <c r="C292" s="134"/>
      <c r="D292" s="221" t="s">
        <v>245</v>
      </c>
      <c r="E292" s="164"/>
      <c r="F292" s="164"/>
      <c r="G292" s="164"/>
      <c r="H292" s="164"/>
      <c r="I292" s="220"/>
      <c r="J292" s="220"/>
      <c r="K292" s="220"/>
      <c r="L292" s="150"/>
      <c r="M292" s="150"/>
      <c r="N292" s="150"/>
      <c r="O292" s="150"/>
      <c r="P292" s="150"/>
      <c r="Q292" s="152"/>
      <c r="R292" s="203"/>
      <c r="S292" s="203"/>
      <c r="T292" s="203"/>
      <c r="U292" s="203"/>
      <c r="V292" s="203"/>
      <c r="W292" s="203"/>
      <c r="X292" s="203"/>
      <c r="Y292" s="203"/>
      <c r="Z292" s="203"/>
      <c r="AA292" s="203"/>
      <c r="AB292" s="203"/>
      <c r="AC292" s="203"/>
      <c r="AD292" s="203"/>
      <c r="AE292" s="203"/>
      <c r="AF292" s="203"/>
      <c r="AG292" s="203"/>
      <c r="AH292" s="203"/>
      <c r="AI292" s="203"/>
      <c r="AJ292" s="203"/>
    </row>
    <row r="293" spans="1:36" s="32" customFormat="1">
      <c r="A293" s="131">
        <f>IF(F293&lt;&gt;"",1+MAX($A$2:A292),"")</f>
        <v>205</v>
      </c>
      <c r="B293" s="353"/>
      <c r="C293" s="134"/>
      <c r="D293" s="167" t="s">
        <v>246</v>
      </c>
      <c r="E293" s="134">
        <v>82</v>
      </c>
      <c r="F293" s="176">
        <v>0.05</v>
      </c>
      <c r="G293" s="177">
        <f>E293*(1+F293)</f>
        <v>86.1</v>
      </c>
      <c r="H293" s="164" t="s">
        <v>71</v>
      </c>
      <c r="I293" s="148">
        <v>3.7999999999999999E-2</v>
      </c>
      <c r="J293" s="149">
        <f t="shared" ref="J293:J295" si="252">+I293*G293</f>
        <v>3.2717999999999998</v>
      </c>
      <c r="K293" s="151">
        <f>'LABOR SHEET'!C$8</f>
        <v>75</v>
      </c>
      <c r="L293" s="150">
        <f t="shared" ref="L293:L295" si="253">I293*K293</f>
        <v>2.85</v>
      </c>
      <c r="M293" s="150">
        <f t="shared" ref="M293:M295" si="254">K293*J293</f>
        <v>245.38499999999999</v>
      </c>
      <c r="N293" s="150">
        <v>18.5</v>
      </c>
      <c r="O293" s="150">
        <f t="shared" ref="O293:O295" si="255">N293*G293</f>
        <v>1592.85</v>
      </c>
      <c r="P293" s="150">
        <f t="shared" ref="P293:P295" si="256">(I293*K293)+N293</f>
        <v>21.35</v>
      </c>
      <c r="Q293" s="104">
        <f t="shared" ref="Q293:Q295" si="257">P293*G293</f>
        <v>1838.2349999999999</v>
      </c>
      <c r="R293" s="203"/>
      <c r="S293" s="203"/>
      <c r="T293" s="203"/>
      <c r="U293" s="203"/>
      <c r="V293" s="203"/>
      <c r="W293" s="203"/>
      <c r="X293" s="203"/>
      <c r="Y293" s="203"/>
      <c r="Z293" s="203"/>
      <c r="AA293" s="203"/>
      <c r="AB293" s="203"/>
      <c r="AC293" s="203"/>
      <c r="AD293" s="203"/>
      <c r="AE293" s="203"/>
      <c r="AF293" s="203"/>
      <c r="AG293" s="203"/>
      <c r="AH293" s="203"/>
      <c r="AI293" s="203"/>
      <c r="AJ293" s="203"/>
    </row>
    <row r="294" spans="1:36" s="32" customFormat="1" ht="46.8">
      <c r="A294" s="131">
        <f>IF(F294&lt;&gt;"",1+MAX($A$2:A293),"")</f>
        <v>206</v>
      </c>
      <c r="B294" s="353"/>
      <c r="C294" s="134"/>
      <c r="D294" s="167" t="s">
        <v>247</v>
      </c>
      <c r="E294" s="134">
        <v>63.6</v>
      </c>
      <c r="F294" s="176">
        <v>0.1</v>
      </c>
      <c r="G294" s="177">
        <f>E294*(1+F294)</f>
        <v>69.959999999999994</v>
      </c>
      <c r="H294" s="164" t="s">
        <v>58</v>
      </c>
      <c r="I294" s="148">
        <v>0.66700000000000004</v>
      </c>
      <c r="J294" s="149">
        <f t="shared" si="252"/>
        <v>46.663319999999999</v>
      </c>
      <c r="K294" s="151">
        <f>'LABOR SHEET'!C$8</f>
        <v>75</v>
      </c>
      <c r="L294" s="150">
        <f t="shared" si="253"/>
        <v>50.024999999999999</v>
      </c>
      <c r="M294" s="150">
        <f t="shared" si="254"/>
        <v>3499.7489999999998</v>
      </c>
      <c r="N294" s="150">
        <v>90</v>
      </c>
      <c r="O294" s="150">
        <f t="shared" si="255"/>
        <v>6296.4</v>
      </c>
      <c r="P294" s="150">
        <f t="shared" si="256"/>
        <v>140.02500000000001</v>
      </c>
      <c r="Q294" s="104">
        <f t="shared" si="257"/>
        <v>9796.1489999999994</v>
      </c>
      <c r="R294" s="203"/>
      <c r="S294" s="203"/>
      <c r="T294" s="203"/>
      <c r="U294" s="203"/>
      <c r="V294" s="203"/>
      <c r="W294" s="203"/>
      <c r="X294" s="203"/>
      <c r="Y294" s="203"/>
      <c r="Z294" s="203"/>
      <c r="AA294" s="203"/>
      <c r="AB294" s="203"/>
      <c r="AC294" s="203"/>
      <c r="AD294" s="203"/>
      <c r="AE294" s="203"/>
      <c r="AF294" s="203"/>
      <c r="AG294" s="203"/>
      <c r="AH294" s="203"/>
      <c r="AI294" s="203"/>
      <c r="AJ294" s="203"/>
    </row>
    <row r="295" spans="1:36" s="32" customFormat="1" ht="46.8">
      <c r="A295" s="131">
        <f>IF(F295&lt;&gt;"",1+MAX($A$2:A294),"")</f>
        <v>207</v>
      </c>
      <c r="B295" s="353"/>
      <c r="C295" s="134"/>
      <c r="D295" s="167" t="s">
        <v>248</v>
      </c>
      <c r="E295" s="134">
        <v>70.25</v>
      </c>
      <c r="F295" s="176">
        <v>0.1</v>
      </c>
      <c r="G295" s="177">
        <f>E295*(1+F295)</f>
        <v>77.275000000000006</v>
      </c>
      <c r="H295" s="164" t="s">
        <v>58</v>
      </c>
      <c r="I295" s="148">
        <v>0.66200000000000003</v>
      </c>
      <c r="J295" s="149">
        <f t="shared" si="252"/>
        <v>51.15605</v>
      </c>
      <c r="K295" s="151">
        <f>'LABOR SHEET'!C$8</f>
        <v>75</v>
      </c>
      <c r="L295" s="150">
        <f t="shared" si="253"/>
        <v>49.65</v>
      </c>
      <c r="M295" s="150">
        <f t="shared" si="254"/>
        <v>3836.7037500000001</v>
      </c>
      <c r="N295" s="150">
        <v>85</v>
      </c>
      <c r="O295" s="150">
        <f t="shared" si="255"/>
        <v>6568.375</v>
      </c>
      <c r="P295" s="150">
        <f t="shared" si="256"/>
        <v>134.65</v>
      </c>
      <c r="Q295" s="104">
        <f t="shared" si="257"/>
        <v>10405.078750000001</v>
      </c>
      <c r="R295" s="203"/>
      <c r="S295" s="203"/>
      <c r="T295" s="203"/>
      <c r="U295" s="203"/>
      <c r="V295" s="203"/>
      <c r="W295" s="203"/>
      <c r="X295" s="203"/>
      <c r="Y295" s="203"/>
      <c r="Z295" s="203"/>
      <c r="AA295" s="203"/>
      <c r="AB295" s="203"/>
      <c r="AC295" s="203"/>
      <c r="AD295" s="203"/>
      <c r="AE295" s="203"/>
      <c r="AF295" s="203"/>
      <c r="AG295" s="203"/>
      <c r="AH295" s="203"/>
      <c r="AI295" s="203"/>
      <c r="AJ295" s="203"/>
    </row>
    <row r="296" spans="1:36" s="32" customFormat="1">
      <c r="A296" s="131" t="str">
        <f>IF(F296&lt;&gt;"",1+MAX($A$2:A295),"")</f>
        <v/>
      </c>
      <c r="B296" s="236"/>
      <c r="C296" s="225"/>
      <c r="D296" s="167"/>
      <c r="E296" s="237"/>
      <c r="F296" s="211"/>
      <c r="G296" s="212"/>
      <c r="H296" s="227"/>
      <c r="I296" s="241"/>
      <c r="J296" s="149"/>
      <c r="K296" s="248"/>
      <c r="L296" s="242"/>
      <c r="M296" s="242"/>
      <c r="N296" s="242"/>
      <c r="O296" s="242"/>
      <c r="P296" s="242"/>
      <c r="Q296" s="153"/>
    </row>
    <row r="297" spans="1:36" s="32" customFormat="1">
      <c r="A297" s="131" t="str">
        <f>IF(F297&lt;&gt;"",1+MAX($A$2:A296),"")</f>
        <v/>
      </c>
      <c r="B297" s="228"/>
      <c r="C297" s="220"/>
      <c r="D297" s="71" t="s">
        <v>53</v>
      </c>
      <c r="E297" s="230"/>
      <c r="F297" s="230"/>
      <c r="G297" s="231"/>
      <c r="H297" s="230"/>
      <c r="I297" s="230"/>
      <c r="J297" s="192"/>
      <c r="K297" s="192"/>
      <c r="L297" s="193"/>
      <c r="M297" s="194"/>
      <c r="N297" s="193"/>
      <c r="O297" s="193"/>
      <c r="P297" s="249"/>
      <c r="Q297" s="199">
        <f>SUM(Q287:Q295)</f>
        <v>39056.704075000001</v>
      </c>
      <c r="S297" s="254"/>
    </row>
    <row r="298" spans="1:36" s="32" customFormat="1">
      <c r="A298" s="131" t="str">
        <f>IF(F298&lt;&gt;"",1+MAX($A$2:A297),"")</f>
        <v/>
      </c>
      <c r="B298" s="233"/>
      <c r="C298" s="233"/>
      <c r="D298" s="233"/>
      <c r="E298" s="233"/>
      <c r="F298" s="233"/>
      <c r="G298" s="233"/>
      <c r="H298" s="233"/>
      <c r="I298" s="233"/>
      <c r="J298" s="233"/>
      <c r="K298" s="233"/>
      <c r="L298" s="233"/>
      <c r="M298" s="233"/>
      <c r="N298" s="233"/>
      <c r="O298" s="233"/>
      <c r="P298" s="233"/>
      <c r="Q298" s="255"/>
      <c r="S298" s="254"/>
    </row>
    <row r="299" spans="1:36" s="32" customFormat="1">
      <c r="A299" s="131" t="str">
        <f>IF(F299&lt;&gt;"",1+MAX($A$2:A298),"")</f>
        <v/>
      </c>
      <c r="B299" s="48"/>
      <c r="C299" s="48">
        <v>22</v>
      </c>
      <c r="D299" s="50" t="s">
        <v>249</v>
      </c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155"/>
      <c r="S299" s="254"/>
    </row>
    <row r="300" spans="1:36" s="32" customFormat="1">
      <c r="A300" s="131" t="str">
        <f>IF(F300&lt;&gt;"",1+MAX($A$2:A299),"")</f>
        <v/>
      </c>
      <c r="B300" s="238"/>
      <c r="C300" s="134"/>
      <c r="D300" s="221" t="s">
        <v>250</v>
      </c>
      <c r="E300" s="164"/>
      <c r="F300" s="164"/>
      <c r="G300" s="164"/>
      <c r="H300" s="164"/>
      <c r="I300" s="245"/>
      <c r="J300" s="246"/>
      <c r="K300" s="247"/>
      <c r="L300" s="150"/>
      <c r="M300" s="150"/>
      <c r="N300" s="150"/>
      <c r="O300" s="150"/>
      <c r="P300" s="150"/>
      <c r="Q300" s="152"/>
      <c r="R300" s="203"/>
      <c r="S300" s="203"/>
      <c r="T300" s="203"/>
      <c r="U300" s="203"/>
      <c r="V300" s="203"/>
      <c r="W300" s="203"/>
      <c r="X300" s="203"/>
      <c r="Y300" s="203"/>
      <c r="Z300" s="203"/>
      <c r="AA300" s="203"/>
      <c r="AB300" s="203"/>
      <c r="AC300" s="203"/>
      <c r="AD300" s="203"/>
      <c r="AE300" s="203"/>
      <c r="AF300" s="203"/>
      <c r="AG300" s="203"/>
      <c r="AH300" s="203"/>
      <c r="AI300" s="203"/>
      <c r="AJ300" s="203"/>
    </row>
    <row r="301" spans="1:36" s="32" customFormat="1">
      <c r="A301" s="131">
        <f>IF(F301&lt;&gt;"",1+MAX($A$2:A300),"")</f>
        <v>208</v>
      </c>
      <c r="B301" s="239"/>
      <c r="C301" s="137"/>
      <c r="D301" s="167" t="s">
        <v>251</v>
      </c>
      <c r="E301" s="134">
        <v>19</v>
      </c>
      <c r="F301" s="176">
        <v>0</v>
      </c>
      <c r="G301" s="177">
        <f t="shared" ref="G301:G319" si="258">E301*(1+F301)</f>
        <v>19</v>
      </c>
      <c r="H301" s="164" t="s">
        <v>81</v>
      </c>
      <c r="I301" s="250">
        <v>1.1000000000000001</v>
      </c>
      <c r="J301" s="149">
        <f t="shared" ref="J301" si="259">+I301*G301</f>
        <v>20.9</v>
      </c>
      <c r="K301" s="151">
        <f>'LABOR SHEET'!C$4</f>
        <v>96.91</v>
      </c>
      <c r="L301" s="150">
        <f t="shared" ref="L301" si="260">I301*K301</f>
        <v>106.601</v>
      </c>
      <c r="M301" s="150">
        <f t="shared" ref="M301" si="261">K301*J301</f>
        <v>2025.4190000000001</v>
      </c>
      <c r="N301" s="251">
        <v>78</v>
      </c>
      <c r="O301" s="150">
        <f t="shared" ref="O301" si="262">N301*G301</f>
        <v>1482</v>
      </c>
      <c r="P301" s="150">
        <f t="shared" ref="P301" si="263">(I301*K301)+N301</f>
        <v>184.601</v>
      </c>
      <c r="Q301" s="104">
        <f t="shared" ref="Q301" si="264">P301*G301</f>
        <v>3507.4189999999999</v>
      </c>
      <c r="R301" s="203"/>
      <c r="S301" s="203"/>
      <c r="T301" s="203"/>
      <c r="U301" s="203"/>
      <c r="V301" s="203"/>
      <c r="W301" s="203"/>
      <c r="X301" s="203"/>
      <c r="Y301" s="203"/>
      <c r="Z301" s="203"/>
      <c r="AA301" s="203"/>
      <c r="AB301" s="203"/>
      <c r="AC301" s="203"/>
      <c r="AD301" s="203"/>
      <c r="AE301" s="203"/>
      <c r="AF301" s="203"/>
      <c r="AG301" s="203"/>
      <c r="AH301" s="203"/>
      <c r="AI301" s="203"/>
      <c r="AJ301" s="203"/>
    </row>
    <row r="302" spans="1:36" s="32" customFormat="1">
      <c r="A302" s="131">
        <f>IF(F302&lt;&gt;"",1+MAX($A$2:A301),"")</f>
        <v>209</v>
      </c>
      <c r="B302" s="360" t="s">
        <v>252</v>
      </c>
      <c r="C302" s="137"/>
      <c r="D302" s="167" t="s">
        <v>253</v>
      </c>
      <c r="E302" s="134">
        <v>18</v>
      </c>
      <c r="F302" s="176">
        <v>0</v>
      </c>
      <c r="G302" s="177">
        <f t="shared" si="258"/>
        <v>18</v>
      </c>
      <c r="H302" s="164" t="s">
        <v>81</v>
      </c>
      <c r="I302" s="250">
        <v>1.25</v>
      </c>
      <c r="J302" s="149">
        <f t="shared" ref="J302:J319" si="265">+I302*G302</f>
        <v>22.5</v>
      </c>
      <c r="K302" s="151">
        <f>'LABOR SHEET'!C$4</f>
        <v>96.91</v>
      </c>
      <c r="L302" s="150">
        <f t="shared" ref="L302:L319" si="266">I302*K302</f>
        <v>121.1375</v>
      </c>
      <c r="M302" s="150">
        <f t="shared" ref="M302:M319" si="267">K302*J302</f>
        <v>2180.4749999999999</v>
      </c>
      <c r="N302" s="251">
        <v>119</v>
      </c>
      <c r="O302" s="150">
        <f t="shared" ref="O302:O319" si="268">N302*G302</f>
        <v>2142</v>
      </c>
      <c r="P302" s="150">
        <f t="shared" ref="P302:P319" si="269">(I302*K302)+N302</f>
        <v>240.13749999999999</v>
      </c>
      <c r="Q302" s="104">
        <f t="shared" ref="Q302:Q319" si="270">P302*G302</f>
        <v>4322.4750000000004</v>
      </c>
      <c r="R302" s="203"/>
      <c r="S302" s="203"/>
      <c r="T302" s="203"/>
      <c r="U302" s="203"/>
      <c r="V302" s="203"/>
      <c r="W302" s="203"/>
      <c r="X302" s="203"/>
      <c r="Y302" s="203"/>
      <c r="Z302" s="203"/>
      <c r="AA302" s="203"/>
      <c r="AB302" s="203"/>
      <c r="AC302" s="203"/>
      <c r="AD302" s="203"/>
      <c r="AE302" s="203"/>
      <c r="AF302" s="203"/>
      <c r="AG302" s="203"/>
      <c r="AH302" s="203"/>
      <c r="AI302" s="203"/>
      <c r="AJ302" s="203"/>
    </row>
    <row r="303" spans="1:36" s="32" customFormat="1">
      <c r="A303" s="131">
        <f>IF(F303&lt;&gt;"",1+MAX($A$2:A302),"")</f>
        <v>210</v>
      </c>
      <c r="B303" s="358"/>
      <c r="C303" s="137"/>
      <c r="D303" s="167" t="s">
        <v>254</v>
      </c>
      <c r="E303" s="134">
        <v>3</v>
      </c>
      <c r="F303" s="176">
        <v>0</v>
      </c>
      <c r="G303" s="177">
        <f t="shared" si="258"/>
        <v>3</v>
      </c>
      <c r="H303" s="164" t="s">
        <v>81</v>
      </c>
      <c r="I303" s="250">
        <v>1.1100000000000001</v>
      </c>
      <c r="J303" s="149">
        <f t="shared" si="265"/>
        <v>3.33</v>
      </c>
      <c r="K303" s="151">
        <f>'LABOR SHEET'!C$4</f>
        <v>96.91</v>
      </c>
      <c r="L303" s="150">
        <f t="shared" si="266"/>
        <v>107.5701</v>
      </c>
      <c r="M303" s="150">
        <f t="shared" si="267"/>
        <v>322.71030000000002</v>
      </c>
      <c r="N303" s="251">
        <v>115</v>
      </c>
      <c r="O303" s="150">
        <f t="shared" si="268"/>
        <v>345</v>
      </c>
      <c r="P303" s="150">
        <f t="shared" si="269"/>
        <v>222.5701</v>
      </c>
      <c r="Q303" s="104">
        <f t="shared" si="270"/>
        <v>667.71029999999996</v>
      </c>
      <c r="R303" s="203"/>
      <c r="S303" s="203"/>
      <c r="T303" s="203"/>
      <c r="U303" s="203"/>
      <c r="V303" s="203"/>
      <c r="W303" s="203"/>
      <c r="X303" s="203"/>
      <c r="Y303" s="203"/>
      <c r="Z303" s="203"/>
      <c r="AA303" s="203"/>
      <c r="AB303" s="203"/>
      <c r="AC303" s="203"/>
      <c r="AD303" s="203"/>
      <c r="AE303" s="203"/>
      <c r="AF303" s="203"/>
      <c r="AG303" s="203"/>
      <c r="AH303" s="203"/>
      <c r="AI303" s="203"/>
      <c r="AJ303" s="203"/>
    </row>
    <row r="304" spans="1:36" s="32" customFormat="1">
      <c r="A304" s="131">
        <f>IF(F304&lt;&gt;"",1+MAX($A$2:A303),"")</f>
        <v>211</v>
      </c>
      <c r="B304" s="358"/>
      <c r="C304" s="137"/>
      <c r="D304" s="167" t="s">
        <v>255</v>
      </c>
      <c r="E304" s="134">
        <v>6</v>
      </c>
      <c r="F304" s="176">
        <v>0</v>
      </c>
      <c r="G304" s="177">
        <f t="shared" si="258"/>
        <v>6</v>
      </c>
      <c r="H304" s="164" t="s">
        <v>81</v>
      </c>
      <c r="I304" s="250">
        <v>1.1499999999999999</v>
      </c>
      <c r="J304" s="149">
        <f t="shared" si="265"/>
        <v>6.9</v>
      </c>
      <c r="K304" s="151">
        <f>'LABOR SHEET'!C$4</f>
        <v>96.91</v>
      </c>
      <c r="L304" s="150">
        <f t="shared" si="266"/>
        <v>111.4465</v>
      </c>
      <c r="M304" s="150">
        <f t="shared" si="267"/>
        <v>668.67899999999997</v>
      </c>
      <c r="N304" s="251">
        <v>210</v>
      </c>
      <c r="O304" s="150">
        <f t="shared" si="268"/>
        <v>1260</v>
      </c>
      <c r="P304" s="150">
        <f t="shared" si="269"/>
        <v>321.44650000000001</v>
      </c>
      <c r="Q304" s="104">
        <f t="shared" si="270"/>
        <v>1928.6790000000001</v>
      </c>
      <c r="R304" s="203"/>
      <c r="S304" s="203"/>
      <c r="T304" s="203"/>
      <c r="U304" s="203"/>
      <c r="V304" s="203"/>
      <c r="W304" s="203"/>
      <c r="X304" s="203"/>
      <c r="Y304" s="203"/>
      <c r="Z304" s="203"/>
      <c r="AA304" s="203"/>
      <c r="AB304" s="203"/>
      <c r="AC304" s="203"/>
      <c r="AD304" s="203"/>
      <c r="AE304" s="203"/>
      <c r="AF304" s="203"/>
      <c r="AG304" s="203"/>
      <c r="AH304" s="203"/>
      <c r="AI304" s="203"/>
      <c r="AJ304" s="203"/>
    </row>
    <row r="305" spans="1:36" s="32" customFormat="1">
      <c r="A305" s="131">
        <f>IF(F305&lt;&gt;"",1+MAX($A$2:A304),"")</f>
        <v>212</v>
      </c>
      <c r="B305" s="358"/>
      <c r="C305" s="137"/>
      <c r="D305" s="167" t="s">
        <v>256</v>
      </c>
      <c r="E305" s="134">
        <v>2</v>
      </c>
      <c r="F305" s="176">
        <v>0</v>
      </c>
      <c r="G305" s="177">
        <f t="shared" si="258"/>
        <v>2</v>
      </c>
      <c r="H305" s="164" t="s">
        <v>81</v>
      </c>
      <c r="I305" s="250">
        <v>0.85</v>
      </c>
      <c r="J305" s="149">
        <f t="shared" si="265"/>
        <v>1.7</v>
      </c>
      <c r="K305" s="151">
        <f>'LABOR SHEET'!C$4</f>
        <v>96.91</v>
      </c>
      <c r="L305" s="150">
        <f t="shared" si="266"/>
        <v>82.373500000000007</v>
      </c>
      <c r="M305" s="150">
        <f t="shared" si="267"/>
        <v>164.74700000000001</v>
      </c>
      <c r="N305" s="251">
        <v>130</v>
      </c>
      <c r="O305" s="150">
        <f t="shared" si="268"/>
        <v>260</v>
      </c>
      <c r="P305" s="150">
        <f t="shared" si="269"/>
        <v>212.37350000000001</v>
      </c>
      <c r="Q305" s="104">
        <f t="shared" si="270"/>
        <v>424.74700000000001</v>
      </c>
      <c r="R305" s="203"/>
      <c r="S305" s="203"/>
      <c r="T305" s="203"/>
      <c r="U305" s="203"/>
      <c r="V305" s="203"/>
      <c r="W305" s="203"/>
      <c r="X305" s="203"/>
      <c r="Y305" s="203"/>
      <c r="Z305" s="203"/>
      <c r="AA305" s="203"/>
      <c r="AB305" s="203"/>
      <c r="AC305" s="203"/>
      <c r="AD305" s="203"/>
      <c r="AE305" s="203"/>
      <c r="AF305" s="203"/>
      <c r="AG305" s="203"/>
      <c r="AH305" s="203"/>
      <c r="AI305" s="203"/>
      <c r="AJ305" s="203"/>
    </row>
    <row r="306" spans="1:36" s="32" customFormat="1">
      <c r="A306" s="131">
        <f>IF(F306&lt;&gt;"",1+MAX($A$2:A305),"")</f>
        <v>213</v>
      </c>
      <c r="B306" s="358"/>
      <c r="C306" s="137"/>
      <c r="D306" s="234" t="s">
        <v>257</v>
      </c>
      <c r="E306" s="134">
        <v>1</v>
      </c>
      <c r="F306" s="176">
        <v>0</v>
      </c>
      <c r="G306" s="177">
        <f t="shared" si="258"/>
        <v>1</v>
      </c>
      <c r="H306" s="164" t="s">
        <v>81</v>
      </c>
      <c r="I306" s="250">
        <v>4.8899999999999997</v>
      </c>
      <c r="J306" s="149">
        <f t="shared" si="265"/>
        <v>4.8899999999999997</v>
      </c>
      <c r="K306" s="151">
        <f>'LABOR SHEET'!C$4</f>
        <v>96.91</v>
      </c>
      <c r="L306" s="150">
        <f t="shared" si="266"/>
        <v>473.88990000000001</v>
      </c>
      <c r="M306" s="150">
        <f t="shared" si="267"/>
        <v>473.88990000000001</v>
      </c>
      <c r="N306" s="251">
        <v>2650</v>
      </c>
      <c r="O306" s="150">
        <f t="shared" si="268"/>
        <v>2650</v>
      </c>
      <c r="P306" s="150">
        <f t="shared" si="269"/>
        <v>3123.8899000000001</v>
      </c>
      <c r="Q306" s="104">
        <f t="shared" si="270"/>
        <v>3123.8899000000001</v>
      </c>
      <c r="R306" s="203"/>
      <c r="S306" s="203"/>
      <c r="T306" s="203"/>
      <c r="U306" s="203"/>
      <c r="V306" s="203"/>
      <c r="W306" s="203"/>
      <c r="X306" s="203"/>
      <c r="Y306" s="203"/>
      <c r="Z306" s="203"/>
      <c r="AA306" s="203"/>
      <c r="AB306" s="203"/>
      <c r="AC306" s="203"/>
      <c r="AD306" s="203"/>
      <c r="AE306" s="203"/>
      <c r="AF306" s="203"/>
      <c r="AG306" s="203"/>
      <c r="AH306" s="203"/>
      <c r="AI306" s="203"/>
      <c r="AJ306" s="203"/>
    </row>
    <row r="307" spans="1:36" s="32" customFormat="1" ht="31.2">
      <c r="A307" s="131">
        <f>IF(F307&lt;&gt;"",1+MAX($A$2:A306),"")</f>
        <v>214</v>
      </c>
      <c r="B307" s="358"/>
      <c r="C307" s="137"/>
      <c r="D307" s="167" t="s">
        <v>258</v>
      </c>
      <c r="E307" s="134">
        <v>2</v>
      </c>
      <c r="F307" s="176">
        <v>0</v>
      </c>
      <c r="G307" s="177">
        <f t="shared" si="258"/>
        <v>2</v>
      </c>
      <c r="H307" s="164" t="s">
        <v>81</v>
      </c>
      <c r="I307" s="250">
        <v>1.66</v>
      </c>
      <c r="J307" s="149">
        <f t="shared" si="265"/>
        <v>3.32</v>
      </c>
      <c r="K307" s="151">
        <f>'LABOR SHEET'!C$4</f>
        <v>96.91</v>
      </c>
      <c r="L307" s="150">
        <f t="shared" si="266"/>
        <v>160.8706</v>
      </c>
      <c r="M307" s="150">
        <f t="shared" si="267"/>
        <v>321.74119999999999</v>
      </c>
      <c r="N307" s="251">
        <v>200.28</v>
      </c>
      <c r="O307" s="150">
        <f t="shared" si="268"/>
        <v>400.56</v>
      </c>
      <c r="P307" s="150">
        <f t="shared" si="269"/>
        <v>361.1506</v>
      </c>
      <c r="Q307" s="104">
        <f t="shared" si="270"/>
        <v>722.30119999999999</v>
      </c>
      <c r="R307" s="203"/>
      <c r="S307" s="203"/>
      <c r="T307" s="203"/>
      <c r="U307" s="203"/>
      <c r="V307" s="203"/>
      <c r="W307" s="203"/>
      <c r="X307" s="203"/>
      <c r="Y307" s="203"/>
      <c r="Z307" s="203"/>
      <c r="AA307" s="203"/>
      <c r="AB307" s="203"/>
      <c r="AC307" s="203"/>
      <c r="AD307" s="203"/>
      <c r="AE307" s="203"/>
      <c r="AF307" s="203"/>
      <c r="AG307" s="203"/>
      <c r="AH307" s="203"/>
      <c r="AI307" s="203"/>
      <c r="AJ307" s="203"/>
    </row>
    <row r="308" spans="1:36" s="32" customFormat="1" ht="31.2">
      <c r="A308" s="131">
        <f>IF(F308&lt;&gt;"",1+MAX($A$2:A307),"")</f>
        <v>215</v>
      </c>
      <c r="B308" s="360"/>
      <c r="C308" s="137"/>
      <c r="D308" s="167" t="s">
        <v>259</v>
      </c>
      <c r="E308" s="134">
        <v>1</v>
      </c>
      <c r="F308" s="176">
        <v>0</v>
      </c>
      <c r="G308" s="177">
        <f t="shared" si="258"/>
        <v>1</v>
      </c>
      <c r="H308" s="164" t="s">
        <v>81</v>
      </c>
      <c r="I308" s="250">
        <v>2.85</v>
      </c>
      <c r="J308" s="149">
        <f t="shared" si="265"/>
        <v>2.85</v>
      </c>
      <c r="K308" s="151">
        <f>'LABOR SHEET'!C$4</f>
        <v>96.91</v>
      </c>
      <c r="L308" s="150">
        <f t="shared" si="266"/>
        <v>276.19349999999997</v>
      </c>
      <c r="M308" s="150">
        <f t="shared" si="267"/>
        <v>276.19349999999997</v>
      </c>
      <c r="N308" s="251">
        <v>759.67</v>
      </c>
      <c r="O308" s="150">
        <f t="shared" si="268"/>
        <v>759.67</v>
      </c>
      <c r="P308" s="150">
        <f t="shared" si="269"/>
        <v>1035.8634999999999</v>
      </c>
      <c r="Q308" s="104">
        <f t="shared" si="270"/>
        <v>1035.8634999999999</v>
      </c>
      <c r="R308" s="203"/>
      <c r="S308" s="203"/>
      <c r="T308" s="203"/>
      <c r="U308" s="203"/>
      <c r="V308" s="203"/>
      <c r="W308" s="203"/>
      <c r="X308" s="203"/>
      <c r="Y308" s="203"/>
      <c r="Z308" s="203"/>
      <c r="AA308" s="203"/>
      <c r="AB308" s="203"/>
      <c r="AC308" s="203"/>
      <c r="AD308" s="203"/>
      <c r="AE308" s="203"/>
      <c r="AF308" s="203"/>
      <c r="AG308" s="203"/>
      <c r="AH308" s="203"/>
      <c r="AI308" s="203"/>
      <c r="AJ308" s="203"/>
    </row>
    <row r="309" spans="1:36" s="32" customFormat="1" ht="31.2">
      <c r="A309" s="131">
        <f>IF(F309&lt;&gt;"",1+MAX($A$2:A308),"")</f>
        <v>216</v>
      </c>
      <c r="B309" s="358"/>
      <c r="C309" s="137"/>
      <c r="D309" s="234" t="s">
        <v>260</v>
      </c>
      <c r="E309" s="134">
        <v>1</v>
      </c>
      <c r="F309" s="176">
        <v>0</v>
      </c>
      <c r="G309" s="177">
        <f t="shared" si="258"/>
        <v>1</v>
      </c>
      <c r="H309" s="164" t="s">
        <v>81</v>
      </c>
      <c r="I309" s="250">
        <v>1.84</v>
      </c>
      <c r="J309" s="149">
        <f t="shared" si="265"/>
        <v>1.84</v>
      </c>
      <c r="K309" s="151">
        <f>'LABOR SHEET'!C$4</f>
        <v>96.91</v>
      </c>
      <c r="L309" s="150">
        <f t="shared" si="266"/>
        <v>178.31440000000001</v>
      </c>
      <c r="M309" s="150">
        <f t="shared" si="267"/>
        <v>178.31440000000001</v>
      </c>
      <c r="N309" s="251">
        <v>112.69</v>
      </c>
      <c r="O309" s="150">
        <f t="shared" si="268"/>
        <v>112.69</v>
      </c>
      <c r="P309" s="150">
        <f t="shared" si="269"/>
        <v>291.00439999999998</v>
      </c>
      <c r="Q309" s="104">
        <f t="shared" si="270"/>
        <v>291.00439999999998</v>
      </c>
      <c r="R309" s="203"/>
      <c r="S309" s="203"/>
      <c r="T309" s="203"/>
      <c r="U309" s="203"/>
      <c r="V309" s="203"/>
      <c r="W309" s="203"/>
      <c r="X309" s="203"/>
      <c r="Y309" s="203"/>
      <c r="Z309" s="203"/>
      <c r="AA309" s="203"/>
      <c r="AB309" s="203"/>
      <c r="AC309" s="203"/>
      <c r="AD309" s="203"/>
      <c r="AE309" s="203"/>
      <c r="AF309" s="203"/>
      <c r="AG309" s="203"/>
      <c r="AH309" s="203"/>
      <c r="AI309" s="203"/>
      <c r="AJ309" s="203"/>
    </row>
    <row r="310" spans="1:36" s="32" customFormat="1" ht="31.2">
      <c r="A310" s="131">
        <f>IF(F310&lt;&gt;"",1+MAX($A$2:A309),"")</f>
        <v>217</v>
      </c>
      <c r="B310" s="358"/>
      <c r="C310" s="137"/>
      <c r="D310" s="234" t="s">
        <v>261</v>
      </c>
      <c r="E310" s="134">
        <v>1</v>
      </c>
      <c r="F310" s="176">
        <v>0</v>
      </c>
      <c r="G310" s="177">
        <f t="shared" si="258"/>
        <v>1</v>
      </c>
      <c r="H310" s="164" t="s">
        <v>81</v>
      </c>
      <c r="I310" s="250">
        <v>3.2</v>
      </c>
      <c r="J310" s="149">
        <f t="shared" si="265"/>
        <v>3.2</v>
      </c>
      <c r="K310" s="151">
        <f>'LABOR SHEET'!C$4</f>
        <v>96.91</v>
      </c>
      <c r="L310" s="150">
        <f t="shared" si="266"/>
        <v>310.11200000000002</v>
      </c>
      <c r="M310" s="150">
        <f t="shared" si="267"/>
        <v>310.11200000000002</v>
      </c>
      <c r="N310" s="251">
        <v>638.75</v>
      </c>
      <c r="O310" s="150">
        <f t="shared" si="268"/>
        <v>638.75</v>
      </c>
      <c r="P310" s="150">
        <f t="shared" si="269"/>
        <v>948.86199999999997</v>
      </c>
      <c r="Q310" s="104">
        <f t="shared" si="270"/>
        <v>948.86199999999997</v>
      </c>
      <c r="R310" s="203"/>
      <c r="S310" s="203"/>
      <c r="T310" s="203"/>
      <c r="U310" s="203"/>
      <c r="V310" s="203"/>
      <c r="W310" s="203"/>
      <c r="X310" s="203"/>
      <c r="Y310" s="203"/>
      <c r="Z310" s="203"/>
      <c r="AA310" s="203"/>
      <c r="AB310" s="203"/>
      <c r="AC310" s="203"/>
      <c r="AD310" s="203"/>
      <c r="AE310" s="203"/>
      <c r="AF310" s="203"/>
      <c r="AG310" s="203"/>
      <c r="AH310" s="203"/>
      <c r="AI310" s="203"/>
      <c r="AJ310" s="203"/>
    </row>
    <row r="311" spans="1:36" s="32" customFormat="1" ht="109.2">
      <c r="A311" s="131">
        <f>IF(F311&lt;&gt;"",1+MAX($A$2:A310),"")</f>
        <v>218</v>
      </c>
      <c r="B311" s="358"/>
      <c r="C311" s="137"/>
      <c r="D311" s="234" t="s">
        <v>262</v>
      </c>
      <c r="E311" s="134">
        <v>2</v>
      </c>
      <c r="F311" s="176">
        <v>0</v>
      </c>
      <c r="G311" s="177">
        <f t="shared" si="258"/>
        <v>2</v>
      </c>
      <c r="H311" s="164" t="s">
        <v>81</v>
      </c>
      <c r="I311" s="250">
        <v>5.25</v>
      </c>
      <c r="J311" s="149">
        <f t="shared" si="265"/>
        <v>10.5</v>
      </c>
      <c r="K311" s="151">
        <f>'LABOR SHEET'!C$4</f>
        <v>96.91</v>
      </c>
      <c r="L311" s="150">
        <f t="shared" si="266"/>
        <v>508.77749999999997</v>
      </c>
      <c r="M311" s="150">
        <f t="shared" si="267"/>
        <v>1017.5549999999999</v>
      </c>
      <c r="N311" s="251">
        <f>434.29+114.65+37.45+28.55+5</f>
        <v>619.94000000000005</v>
      </c>
      <c r="O311" s="150">
        <f t="shared" si="268"/>
        <v>1239.8800000000001</v>
      </c>
      <c r="P311" s="150">
        <f t="shared" si="269"/>
        <v>1128.7175</v>
      </c>
      <c r="Q311" s="104">
        <f t="shared" si="270"/>
        <v>2257.4349999999999</v>
      </c>
      <c r="R311" s="203"/>
      <c r="S311" s="203"/>
      <c r="T311" s="203"/>
      <c r="U311" s="203"/>
      <c r="V311" s="203"/>
      <c r="W311" s="203"/>
      <c r="X311" s="203"/>
      <c r="Y311" s="203"/>
      <c r="Z311" s="203"/>
      <c r="AA311" s="203"/>
      <c r="AB311" s="203"/>
      <c r="AC311" s="203"/>
      <c r="AD311" s="203"/>
      <c r="AE311" s="203"/>
      <c r="AF311" s="203"/>
      <c r="AG311" s="203"/>
      <c r="AH311" s="203"/>
      <c r="AI311" s="203"/>
      <c r="AJ311" s="203"/>
    </row>
    <row r="312" spans="1:36" s="32" customFormat="1" ht="109.2">
      <c r="A312" s="131">
        <f>IF(F312&lt;&gt;"",1+MAX($A$2:A311),"")</f>
        <v>219</v>
      </c>
      <c r="B312" s="360"/>
      <c r="C312" s="137"/>
      <c r="D312" s="167" t="s">
        <v>263</v>
      </c>
      <c r="E312" s="134">
        <v>4</v>
      </c>
      <c r="F312" s="176">
        <v>0</v>
      </c>
      <c r="G312" s="177">
        <f t="shared" si="258"/>
        <v>4</v>
      </c>
      <c r="H312" s="164" t="s">
        <v>81</v>
      </c>
      <c r="I312" s="250">
        <v>5.25</v>
      </c>
      <c r="J312" s="149">
        <f t="shared" si="265"/>
        <v>21</v>
      </c>
      <c r="K312" s="151">
        <f>'LABOR SHEET'!C$4</f>
        <v>96.91</v>
      </c>
      <c r="L312" s="150">
        <f t="shared" si="266"/>
        <v>508.77749999999997</v>
      </c>
      <c r="M312" s="150">
        <f t="shared" si="267"/>
        <v>2035.11</v>
      </c>
      <c r="N312" s="251">
        <f>434.29+114.65+37.45+28.55+5</f>
        <v>619.94000000000005</v>
      </c>
      <c r="O312" s="150">
        <f t="shared" si="268"/>
        <v>2479.7600000000002</v>
      </c>
      <c r="P312" s="150">
        <f t="shared" si="269"/>
        <v>1128.7175</v>
      </c>
      <c r="Q312" s="104">
        <f t="shared" si="270"/>
        <v>4514.87</v>
      </c>
      <c r="R312" s="203"/>
      <c r="S312" s="203"/>
      <c r="T312" s="203"/>
      <c r="U312" s="203"/>
      <c r="V312" s="203"/>
      <c r="W312" s="203"/>
      <c r="X312" s="203"/>
      <c r="Y312" s="203"/>
      <c r="Z312" s="203"/>
      <c r="AA312" s="203"/>
      <c r="AB312" s="203"/>
      <c r="AC312" s="203"/>
      <c r="AD312" s="203"/>
      <c r="AE312" s="203"/>
      <c r="AF312" s="203"/>
      <c r="AG312" s="203"/>
      <c r="AH312" s="203"/>
      <c r="AI312" s="203"/>
      <c r="AJ312" s="203"/>
    </row>
    <row r="313" spans="1:36" s="32" customFormat="1" ht="62.4">
      <c r="A313" s="131">
        <f>IF(F313&lt;&gt;"",1+MAX($A$2:A312),"")</f>
        <v>220</v>
      </c>
      <c r="B313" s="358"/>
      <c r="C313" s="240"/>
      <c r="D313" s="234" t="s">
        <v>264</v>
      </c>
      <c r="E313" s="134">
        <v>2</v>
      </c>
      <c r="F313" s="176">
        <v>0</v>
      </c>
      <c r="G313" s="177">
        <f t="shared" si="258"/>
        <v>2</v>
      </c>
      <c r="H313" s="164" t="s">
        <v>81</v>
      </c>
      <c r="I313" s="250">
        <v>1.1000000000000001</v>
      </c>
      <c r="J313" s="149">
        <f t="shared" si="265"/>
        <v>2.2000000000000002</v>
      </c>
      <c r="K313" s="151">
        <f>'LABOR SHEET'!C$4</f>
        <v>96.91</v>
      </c>
      <c r="L313" s="150">
        <f t="shared" si="266"/>
        <v>106.601</v>
      </c>
      <c r="M313" s="150">
        <f t="shared" si="267"/>
        <v>213.202</v>
      </c>
      <c r="N313" s="251">
        <f>122.71+57</f>
        <v>179.71</v>
      </c>
      <c r="O313" s="150">
        <f t="shared" si="268"/>
        <v>359.42</v>
      </c>
      <c r="P313" s="150">
        <f t="shared" si="269"/>
        <v>286.31099999999998</v>
      </c>
      <c r="Q313" s="104">
        <f t="shared" si="270"/>
        <v>572.62199999999996</v>
      </c>
      <c r="R313" s="203"/>
      <c r="S313" s="203"/>
      <c r="T313" s="203"/>
      <c r="U313" s="203"/>
      <c r="V313" s="203"/>
      <c r="W313" s="203"/>
      <c r="X313" s="203"/>
      <c r="Y313" s="203"/>
      <c r="Z313" s="203"/>
      <c r="AA313" s="203"/>
      <c r="AB313" s="203"/>
      <c r="AC313" s="203"/>
      <c r="AD313" s="203"/>
      <c r="AE313" s="203"/>
      <c r="AF313" s="203"/>
      <c r="AG313" s="203"/>
      <c r="AH313" s="203"/>
      <c r="AI313" s="203"/>
      <c r="AJ313" s="203"/>
    </row>
    <row r="314" spans="1:36" s="32" customFormat="1" ht="156">
      <c r="A314" s="131">
        <f>IF(F314&lt;&gt;"",1+MAX($A$2:A313),"")</f>
        <v>221</v>
      </c>
      <c r="B314" s="358"/>
      <c r="C314" s="137"/>
      <c r="D314" s="234" t="s">
        <v>265</v>
      </c>
      <c r="E314" s="134">
        <v>4</v>
      </c>
      <c r="F314" s="176">
        <v>0</v>
      </c>
      <c r="G314" s="177">
        <f t="shared" si="258"/>
        <v>4</v>
      </c>
      <c r="H314" s="164" t="s">
        <v>81</v>
      </c>
      <c r="I314" s="250">
        <v>5.15</v>
      </c>
      <c r="J314" s="149">
        <f t="shared" si="265"/>
        <v>20.6</v>
      </c>
      <c r="K314" s="151">
        <f>'LABOR SHEET'!C$4</f>
        <v>96.91</v>
      </c>
      <c r="L314" s="150">
        <f t="shared" si="266"/>
        <v>499.0865</v>
      </c>
      <c r="M314" s="150">
        <f t="shared" si="267"/>
        <v>1996.346</v>
      </c>
      <c r="N314" s="251">
        <f>393.86+628.72+161+95+75+5+15+15</f>
        <v>1388.58</v>
      </c>
      <c r="O314" s="150">
        <f t="shared" si="268"/>
        <v>5554.32</v>
      </c>
      <c r="P314" s="150">
        <f t="shared" si="269"/>
        <v>1887.6665</v>
      </c>
      <c r="Q314" s="104">
        <f t="shared" si="270"/>
        <v>7550.6660000000002</v>
      </c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3"/>
      <c r="AD314" s="203"/>
      <c r="AE314" s="203"/>
      <c r="AF314" s="203"/>
      <c r="AG314" s="203"/>
      <c r="AH314" s="203"/>
      <c r="AI314" s="203"/>
      <c r="AJ314" s="203"/>
    </row>
    <row r="315" spans="1:36" s="32" customFormat="1" ht="62.4">
      <c r="A315" s="131">
        <f>IF(F315&lt;&gt;"",1+MAX($A$2:A314),"")</f>
        <v>222</v>
      </c>
      <c r="B315" s="358"/>
      <c r="C315" s="137"/>
      <c r="D315" s="234" t="s">
        <v>266</v>
      </c>
      <c r="E315" s="134">
        <v>1</v>
      </c>
      <c r="F315" s="176">
        <v>0</v>
      </c>
      <c r="G315" s="177">
        <f t="shared" si="258"/>
        <v>1</v>
      </c>
      <c r="H315" s="164" t="s">
        <v>81</v>
      </c>
      <c r="I315" s="250">
        <v>5.45</v>
      </c>
      <c r="J315" s="149">
        <f t="shared" si="265"/>
        <v>5.45</v>
      </c>
      <c r="K315" s="151">
        <f>'LABOR SHEET'!C$4</f>
        <v>96.91</v>
      </c>
      <c r="L315" s="150">
        <f t="shared" si="266"/>
        <v>528.15949999999998</v>
      </c>
      <c r="M315" s="150">
        <f t="shared" si="267"/>
        <v>528.15949999999998</v>
      </c>
      <c r="N315" s="251">
        <f>1038.47+297</f>
        <v>1335.47</v>
      </c>
      <c r="O315" s="150">
        <f t="shared" si="268"/>
        <v>1335.47</v>
      </c>
      <c r="P315" s="150">
        <f t="shared" si="269"/>
        <v>1863.6295</v>
      </c>
      <c r="Q315" s="104">
        <f t="shared" si="270"/>
        <v>1863.6295</v>
      </c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3"/>
      <c r="AD315" s="203"/>
      <c r="AE315" s="203"/>
      <c r="AF315" s="203"/>
      <c r="AG315" s="203"/>
      <c r="AH315" s="203"/>
      <c r="AI315" s="203"/>
      <c r="AJ315" s="203"/>
    </row>
    <row r="316" spans="1:36" s="32" customFormat="1" ht="124.8">
      <c r="A316" s="131">
        <f>IF(F316&lt;&gt;"",1+MAX($A$2:A315),"")</f>
        <v>223</v>
      </c>
      <c r="B316" s="360"/>
      <c r="C316" s="137"/>
      <c r="D316" s="234" t="s">
        <v>267</v>
      </c>
      <c r="E316" s="134">
        <v>3</v>
      </c>
      <c r="F316" s="176">
        <v>0</v>
      </c>
      <c r="G316" s="177">
        <f t="shared" si="258"/>
        <v>3</v>
      </c>
      <c r="H316" s="164" t="s">
        <v>81</v>
      </c>
      <c r="I316" s="250">
        <v>5.65</v>
      </c>
      <c r="J316" s="149">
        <f t="shared" si="265"/>
        <v>16.95</v>
      </c>
      <c r="K316" s="151">
        <f>'LABOR SHEET'!C$4</f>
        <v>96.91</v>
      </c>
      <c r="L316" s="150">
        <f t="shared" si="266"/>
        <v>547.54150000000004</v>
      </c>
      <c r="M316" s="150">
        <f t="shared" si="267"/>
        <v>1642.6244999999999</v>
      </c>
      <c r="N316" s="251">
        <f>411.54+1136+191+50+5+30+30</f>
        <v>1853.54</v>
      </c>
      <c r="O316" s="150">
        <f t="shared" si="268"/>
        <v>5560.62</v>
      </c>
      <c r="P316" s="150">
        <f t="shared" si="269"/>
        <v>2401.0814999999998</v>
      </c>
      <c r="Q316" s="104">
        <f t="shared" si="270"/>
        <v>7203.2444999999998</v>
      </c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3"/>
      <c r="AD316" s="203"/>
      <c r="AE316" s="203"/>
      <c r="AF316" s="203"/>
      <c r="AG316" s="203"/>
      <c r="AH316" s="203"/>
      <c r="AI316" s="203"/>
      <c r="AJ316" s="203"/>
    </row>
    <row r="317" spans="1:36" s="32" customFormat="1" ht="109.2">
      <c r="A317" s="131">
        <f>IF(F317&lt;&gt;"",1+MAX($A$2:A316),"")</f>
        <v>224</v>
      </c>
      <c r="B317" s="358"/>
      <c r="C317" s="137"/>
      <c r="D317" s="234" t="s">
        <v>268</v>
      </c>
      <c r="E317" s="134">
        <v>1</v>
      </c>
      <c r="F317" s="176">
        <v>0</v>
      </c>
      <c r="G317" s="177">
        <f t="shared" si="258"/>
        <v>1</v>
      </c>
      <c r="H317" s="164" t="s">
        <v>81</v>
      </c>
      <c r="I317" s="250">
        <v>5.95</v>
      </c>
      <c r="J317" s="149">
        <f t="shared" si="265"/>
        <v>5.95</v>
      </c>
      <c r="K317" s="151">
        <f>'LABOR SHEET'!C$4</f>
        <v>96.91</v>
      </c>
      <c r="L317" s="150">
        <f t="shared" si="266"/>
        <v>576.61450000000002</v>
      </c>
      <c r="M317" s="150">
        <f t="shared" si="267"/>
        <v>576.61450000000002</v>
      </c>
      <c r="N317" s="251">
        <f>1096.78+926.9+50+5+30+30</f>
        <v>2138.6799999999998</v>
      </c>
      <c r="O317" s="150">
        <f t="shared" si="268"/>
        <v>2138.6799999999998</v>
      </c>
      <c r="P317" s="150">
        <f t="shared" si="269"/>
        <v>2715.2945</v>
      </c>
      <c r="Q317" s="104">
        <f t="shared" si="270"/>
        <v>2715.2945</v>
      </c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3"/>
      <c r="AD317" s="203"/>
      <c r="AE317" s="203"/>
      <c r="AF317" s="203"/>
      <c r="AG317" s="203"/>
      <c r="AH317" s="203"/>
      <c r="AI317" s="203"/>
      <c r="AJ317" s="203"/>
    </row>
    <row r="318" spans="1:36" s="32" customFormat="1" ht="109.2">
      <c r="A318" s="131">
        <f>IF(F318&lt;&gt;"",1+MAX($A$2:A317),"")</f>
        <v>225</v>
      </c>
      <c r="B318" s="358"/>
      <c r="C318" s="137"/>
      <c r="D318" s="234" t="s">
        <v>269</v>
      </c>
      <c r="E318" s="134">
        <v>1</v>
      </c>
      <c r="F318" s="176">
        <v>0</v>
      </c>
      <c r="G318" s="177">
        <f t="shared" si="258"/>
        <v>1</v>
      </c>
      <c r="H318" s="164" t="s">
        <v>81</v>
      </c>
      <c r="I318" s="250">
        <v>3.95</v>
      </c>
      <c r="J318" s="149">
        <f t="shared" si="265"/>
        <v>3.95</v>
      </c>
      <c r="K318" s="151">
        <f>'LABOR SHEET'!C$4</f>
        <v>96.91</v>
      </c>
      <c r="L318" s="150">
        <f t="shared" si="266"/>
        <v>382.79450000000003</v>
      </c>
      <c r="M318" s="150">
        <f t="shared" si="267"/>
        <v>382.79450000000003</v>
      </c>
      <c r="N318" s="251">
        <f>253.25+474.6+145+35+30</f>
        <v>937.85</v>
      </c>
      <c r="O318" s="150">
        <f t="shared" si="268"/>
        <v>937.85</v>
      </c>
      <c r="P318" s="150">
        <f t="shared" si="269"/>
        <v>1320.6445000000001</v>
      </c>
      <c r="Q318" s="104">
        <f t="shared" si="270"/>
        <v>1320.6445000000001</v>
      </c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3"/>
      <c r="AD318" s="203"/>
      <c r="AE318" s="203"/>
      <c r="AF318" s="203"/>
      <c r="AG318" s="203"/>
      <c r="AH318" s="203"/>
      <c r="AI318" s="203"/>
      <c r="AJ318" s="203"/>
    </row>
    <row r="319" spans="1:36" s="32" customFormat="1" ht="31.2">
      <c r="A319" s="131">
        <f>IF(F319&lt;&gt;"",1+MAX($A$2:A318),"")</f>
        <v>226</v>
      </c>
      <c r="B319" s="358"/>
      <c r="C319" s="137"/>
      <c r="D319" s="207" t="s">
        <v>270</v>
      </c>
      <c r="E319" s="134">
        <v>1</v>
      </c>
      <c r="F319" s="176">
        <v>0</v>
      </c>
      <c r="G319" s="177">
        <f t="shared" si="258"/>
        <v>1</v>
      </c>
      <c r="H319" s="164" t="s">
        <v>81</v>
      </c>
      <c r="I319" s="148">
        <v>0.86</v>
      </c>
      <c r="J319" s="149">
        <f t="shared" si="265"/>
        <v>0.86</v>
      </c>
      <c r="K319" s="151">
        <f>'LABOR SHEET'!C$4</f>
        <v>96.91</v>
      </c>
      <c r="L319" s="150">
        <f t="shared" si="266"/>
        <v>83.342600000000004</v>
      </c>
      <c r="M319" s="150">
        <f t="shared" si="267"/>
        <v>83.342600000000004</v>
      </c>
      <c r="N319" s="150">
        <v>109.29</v>
      </c>
      <c r="O319" s="150">
        <f t="shared" si="268"/>
        <v>109.29</v>
      </c>
      <c r="P319" s="150">
        <f t="shared" si="269"/>
        <v>192.6326</v>
      </c>
      <c r="Q319" s="104">
        <f t="shared" si="270"/>
        <v>192.6326</v>
      </c>
      <c r="R319" s="203"/>
      <c r="S319" s="203"/>
      <c r="T319" s="203"/>
      <c r="U319" s="203"/>
      <c r="V319" s="203"/>
      <c r="W319" s="203"/>
      <c r="X319" s="203"/>
      <c r="Y319" s="203"/>
      <c r="Z319" s="203"/>
      <c r="AA319" s="203"/>
      <c r="AB319" s="203"/>
      <c r="AC319" s="203"/>
      <c r="AD319" s="203"/>
      <c r="AE319" s="203"/>
      <c r="AF319" s="203"/>
      <c r="AG319" s="203"/>
      <c r="AH319" s="203"/>
      <c r="AI319" s="203"/>
      <c r="AJ319" s="203"/>
    </row>
    <row r="320" spans="1:36" s="32" customFormat="1">
      <c r="A320" s="131" t="str">
        <f>IF(F320&lt;&gt;"",1+MAX($A$2:A319),"")</f>
        <v/>
      </c>
      <c r="B320" s="358"/>
      <c r="C320" s="137"/>
      <c r="D320" s="167"/>
      <c r="E320" s="134"/>
      <c r="F320" s="176"/>
      <c r="G320" s="177"/>
      <c r="H320" s="164"/>
      <c r="I320" s="148"/>
      <c r="J320" s="149"/>
      <c r="K320" s="151"/>
      <c r="L320" s="150"/>
      <c r="M320" s="150"/>
      <c r="N320" s="150"/>
      <c r="O320" s="150"/>
      <c r="P320" s="150"/>
      <c r="Q320" s="104"/>
      <c r="R320" s="203"/>
      <c r="S320" s="203"/>
      <c r="T320" s="203"/>
      <c r="U320" s="203"/>
      <c r="V320" s="203"/>
      <c r="W320" s="203"/>
      <c r="X320" s="203"/>
      <c r="Y320" s="203"/>
      <c r="Z320" s="203"/>
      <c r="AA320" s="203"/>
      <c r="AB320" s="203"/>
      <c r="AC320" s="203"/>
      <c r="AD320" s="203"/>
      <c r="AE320" s="203"/>
      <c r="AF320" s="203"/>
      <c r="AG320" s="203"/>
      <c r="AH320" s="203"/>
      <c r="AI320" s="203"/>
      <c r="AJ320" s="203"/>
    </row>
    <row r="321" spans="1:36" s="32" customFormat="1">
      <c r="A321" s="131" t="str">
        <f>IF(F321&lt;&gt;"",1+MAX($A$2:A320),"")</f>
        <v/>
      </c>
      <c r="B321" s="358"/>
      <c r="C321" s="134"/>
      <c r="D321" s="221" t="s">
        <v>271</v>
      </c>
      <c r="E321" s="164"/>
      <c r="F321" s="164"/>
      <c r="G321" s="164"/>
      <c r="H321" s="164"/>
      <c r="I321" s="245"/>
      <c r="J321" s="246"/>
      <c r="K321" s="247"/>
      <c r="L321" s="150"/>
      <c r="M321" s="150"/>
      <c r="N321" s="150"/>
      <c r="O321" s="150"/>
      <c r="P321" s="150"/>
      <c r="Q321" s="152"/>
      <c r="R321" s="203"/>
      <c r="S321" s="203"/>
      <c r="T321" s="203"/>
      <c r="U321" s="203"/>
      <c r="V321" s="203"/>
      <c r="W321" s="203"/>
      <c r="X321" s="203"/>
      <c r="Y321" s="203"/>
      <c r="Z321" s="203"/>
      <c r="AA321" s="203"/>
      <c r="AB321" s="203"/>
      <c r="AC321" s="203"/>
      <c r="AD321" s="203"/>
      <c r="AE321" s="203"/>
      <c r="AF321" s="203"/>
      <c r="AG321" s="203"/>
      <c r="AH321" s="203"/>
      <c r="AI321" s="203"/>
      <c r="AJ321" s="203"/>
    </row>
    <row r="322" spans="1:36" s="32" customFormat="1">
      <c r="A322" s="131">
        <f>IF(F322&lt;&gt;"",1+MAX($A$2:A321),"")</f>
        <v>227</v>
      </c>
      <c r="B322" s="358"/>
      <c r="C322" s="137"/>
      <c r="D322" s="167" t="s">
        <v>272</v>
      </c>
      <c r="E322" s="134">
        <v>325</v>
      </c>
      <c r="F322" s="176">
        <v>0.05</v>
      </c>
      <c r="G322" s="177">
        <f>E322*(1+F322)</f>
        <v>341.25</v>
      </c>
      <c r="H322" s="164" t="s">
        <v>71</v>
      </c>
      <c r="I322" s="250">
        <v>0.27100000000000002</v>
      </c>
      <c r="J322" s="149">
        <f t="shared" ref="J322:J331" si="271">+I322*G322</f>
        <v>92.478750000000005</v>
      </c>
      <c r="K322" s="151">
        <f>'LABOR SHEET'!C$4</f>
        <v>96.91</v>
      </c>
      <c r="L322" s="150">
        <f t="shared" ref="L322:L331" si="272">I322*K322</f>
        <v>26.262609999999999</v>
      </c>
      <c r="M322" s="150">
        <f t="shared" ref="M322:M331" si="273">K322*J322</f>
        <v>8962.1156625000003</v>
      </c>
      <c r="N322" s="251">
        <v>5</v>
      </c>
      <c r="O322" s="150">
        <f t="shared" ref="O322:O331" si="274">N322*G322</f>
        <v>1706.25</v>
      </c>
      <c r="P322" s="150">
        <f>(I322*K322)+N322</f>
        <v>31.262609999999999</v>
      </c>
      <c r="Q322" s="104">
        <f>P322*G322</f>
        <v>10668.3656625</v>
      </c>
      <c r="R322" s="203"/>
      <c r="S322" s="203"/>
      <c r="T322" s="203"/>
      <c r="U322" s="203"/>
      <c r="V322" s="203"/>
      <c r="W322" s="203"/>
      <c r="X322" s="203"/>
      <c r="Y322" s="203"/>
      <c r="Z322" s="203"/>
      <c r="AA322" s="203"/>
      <c r="AB322" s="203"/>
      <c r="AC322" s="203"/>
      <c r="AD322" s="203"/>
      <c r="AE322" s="203"/>
      <c r="AF322" s="203"/>
      <c r="AG322" s="203"/>
      <c r="AH322" s="203"/>
      <c r="AI322" s="203"/>
      <c r="AJ322" s="203"/>
    </row>
    <row r="323" spans="1:36" s="32" customFormat="1">
      <c r="A323" s="131">
        <f>IF(F323&lt;&gt;"",1+MAX($A$2:A322),"")</f>
        <v>228</v>
      </c>
      <c r="B323" s="358"/>
      <c r="C323" s="137"/>
      <c r="D323" s="167" t="s">
        <v>273</v>
      </c>
      <c r="E323" s="134">
        <v>29</v>
      </c>
      <c r="F323" s="176">
        <v>0.05</v>
      </c>
      <c r="G323" s="177">
        <f t="shared" ref="G323:G331" si="275">E323*(1+F323)</f>
        <v>30.45</v>
      </c>
      <c r="H323" s="164" t="s">
        <v>71</v>
      </c>
      <c r="I323" s="250">
        <v>0.27100000000000002</v>
      </c>
      <c r="J323" s="149">
        <f t="shared" si="271"/>
        <v>8.2519500000000008</v>
      </c>
      <c r="K323" s="151">
        <f>'LABOR SHEET'!C$4</f>
        <v>96.91</v>
      </c>
      <c r="L323" s="150">
        <f t="shared" si="272"/>
        <v>26.262609999999999</v>
      </c>
      <c r="M323" s="150">
        <f t="shared" si="273"/>
        <v>799.69647450000002</v>
      </c>
      <c r="N323" s="251">
        <v>5</v>
      </c>
      <c r="O323" s="150">
        <f t="shared" si="274"/>
        <v>152.25</v>
      </c>
      <c r="P323" s="150">
        <f t="shared" ref="P323:P331" si="276">(I323*K323)+N323</f>
        <v>31.262609999999999</v>
      </c>
      <c r="Q323" s="104">
        <f t="shared" ref="Q323:Q331" si="277">P323*G323</f>
        <v>951.94647450000002</v>
      </c>
      <c r="R323" s="203"/>
      <c r="S323" s="203"/>
      <c r="T323" s="203"/>
      <c r="U323" s="203"/>
      <c r="V323" s="203"/>
      <c r="W323" s="203"/>
      <c r="X323" s="203"/>
      <c r="Y323" s="203"/>
      <c r="Z323" s="203"/>
      <c r="AA323" s="203"/>
      <c r="AB323" s="203"/>
      <c r="AC323" s="203"/>
      <c r="AD323" s="203"/>
      <c r="AE323" s="203"/>
      <c r="AF323" s="203"/>
      <c r="AG323" s="203"/>
      <c r="AH323" s="203"/>
      <c r="AI323" s="203"/>
      <c r="AJ323" s="203"/>
    </row>
    <row r="324" spans="1:36" s="32" customFormat="1">
      <c r="A324" s="131">
        <f>IF(F324&lt;&gt;"",1+MAX($A$2:A323),"")</f>
        <v>229</v>
      </c>
      <c r="B324" s="358"/>
      <c r="C324" s="137"/>
      <c r="D324" s="167" t="s">
        <v>274</v>
      </c>
      <c r="E324" s="134">
        <v>16</v>
      </c>
      <c r="F324" s="176">
        <v>0.05</v>
      </c>
      <c r="G324" s="177">
        <f t="shared" si="275"/>
        <v>16.8</v>
      </c>
      <c r="H324" s="164" t="s">
        <v>71</v>
      </c>
      <c r="I324" s="250">
        <v>0.30199999999999999</v>
      </c>
      <c r="J324" s="149">
        <f t="shared" si="271"/>
        <v>5.0735999999999999</v>
      </c>
      <c r="K324" s="151">
        <f>'LABOR SHEET'!C$4</f>
        <v>96.91</v>
      </c>
      <c r="L324" s="150">
        <f t="shared" si="272"/>
        <v>29.266819999999999</v>
      </c>
      <c r="M324" s="150">
        <f t="shared" si="273"/>
        <v>491.68257599999998</v>
      </c>
      <c r="N324" s="251">
        <v>8.15</v>
      </c>
      <c r="O324" s="150">
        <f t="shared" si="274"/>
        <v>136.91999999999999</v>
      </c>
      <c r="P324" s="150">
        <f t="shared" si="276"/>
        <v>37.416820000000001</v>
      </c>
      <c r="Q324" s="104">
        <f t="shared" si="277"/>
        <v>628.602576</v>
      </c>
      <c r="R324" s="203"/>
      <c r="S324" s="203"/>
      <c r="T324" s="203"/>
      <c r="U324" s="203"/>
      <c r="V324" s="203"/>
      <c r="W324" s="203"/>
      <c r="X324" s="203"/>
      <c r="Y324" s="203"/>
      <c r="Z324" s="203"/>
      <c r="AA324" s="203"/>
      <c r="AB324" s="203"/>
      <c r="AC324" s="203"/>
      <c r="AD324" s="203"/>
      <c r="AE324" s="203"/>
      <c r="AF324" s="203"/>
      <c r="AG324" s="203"/>
      <c r="AH324" s="203"/>
      <c r="AI324" s="203"/>
      <c r="AJ324" s="203"/>
    </row>
    <row r="325" spans="1:36" s="32" customFormat="1">
      <c r="A325" s="131">
        <f>IF(F325&lt;&gt;"",1+MAX($A$2:A324),"")</f>
        <v>230</v>
      </c>
      <c r="B325" s="358"/>
      <c r="C325" s="137"/>
      <c r="D325" s="167" t="s">
        <v>275</v>
      </c>
      <c r="E325" s="134">
        <v>296</v>
      </c>
      <c r="F325" s="176">
        <v>0.05</v>
      </c>
      <c r="G325" s="177">
        <f t="shared" si="275"/>
        <v>310.8</v>
      </c>
      <c r="H325" s="164" t="s">
        <v>71</v>
      </c>
      <c r="I325" s="250">
        <v>0.33300000000000002</v>
      </c>
      <c r="J325" s="149">
        <f t="shared" si="271"/>
        <v>103.49639999999999</v>
      </c>
      <c r="K325" s="151">
        <f>'LABOR SHEET'!C$4</f>
        <v>96.91</v>
      </c>
      <c r="L325" s="150">
        <f t="shared" si="272"/>
        <v>32.271030000000003</v>
      </c>
      <c r="M325" s="150">
        <f t="shared" si="273"/>
        <v>10029.836123999999</v>
      </c>
      <c r="N325" s="251">
        <v>10.45</v>
      </c>
      <c r="O325" s="150">
        <f t="shared" si="274"/>
        <v>3247.86</v>
      </c>
      <c r="P325" s="150">
        <f t="shared" si="276"/>
        <v>42.721029999999999</v>
      </c>
      <c r="Q325" s="104">
        <f t="shared" si="277"/>
        <v>13277.696124</v>
      </c>
      <c r="R325" s="203"/>
      <c r="S325" s="203"/>
      <c r="T325" s="203"/>
      <c r="U325" s="203"/>
      <c r="V325" s="203"/>
      <c r="W325" s="203"/>
      <c r="X325" s="203"/>
      <c r="Y325" s="203"/>
      <c r="Z325" s="203"/>
      <c r="AA325" s="203"/>
      <c r="AB325" s="203"/>
      <c r="AC325" s="203"/>
      <c r="AD325" s="203"/>
      <c r="AE325" s="203"/>
      <c r="AF325" s="203"/>
      <c r="AG325" s="203"/>
      <c r="AH325" s="203"/>
      <c r="AI325" s="203"/>
      <c r="AJ325" s="203"/>
    </row>
    <row r="326" spans="1:36" s="32" customFormat="1">
      <c r="A326" s="131">
        <f>IF(F326&lt;&gt;"",1+MAX($A$2:A325),"")</f>
        <v>231</v>
      </c>
      <c r="B326" s="360"/>
      <c r="C326" s="137"/>
      <c r="D326" s="167" t="s">
        <v>276</v>
      </c>
      <c r="E326" s="134">
        <v>119</v>
      </c>
      <c r="F326" s="176">
        <v>0.05</v>
      </c>
      <c r="G326" s="177">
        <f t="shared" si="275"/>
        <v>124.95</v>
      </c>
      <c r="H326" s="164" t="s">
        <v>71</v>
      </c>
      <c r="I326" s="250">
        <v>0.11799999999999999</v>
      </c>
      <c r="J326" s="149">
        <f t="shared" si="271"/>
        <v>14.7441</v>
      </c>
      <c r="K326" s="151">
        <f>'LABOR SHEET'!C$4</f>
        <v>96.91</v>
      </c>
      <c r="L326" s="150">
        <f t="shared" si="272"/>
        <v>11.43538</v>
      </c>
      <c r="M326" s="150">
        <f t="shared" si="273"/>
        <v>1428.850731</v>
      </c>
      <c r="N326" s="251">
        <v>7.25</v>
      </c>
      <c r="O326" s="150">
        <f t="shared" si="274"/>
        <v>905.88750000000005</v>
      </c>
      <c r="P326" s="150">
        <f t="shared" si="276"/>
        <v>18.685379999999999</v>
      </c>
      <c r="Q326" s="104">
        <f t="shared" si="277"/>
        <v>2334.7382309999998</v>
      </c>
      <c r="R326" s="203"/>
      <c r="S326" s="203"/>
      <c r="T326" s="203"/>
      <c r="U326" s="203"/>
      <c r="V326" s="203"/>
      <c r="W326" s="203"/>
      <c r="X326" s="203"/>
      <c r="Y326" s="203"/>
      <c r="Z326" s="203"/>
      <c r="AA326" s="203"/>
      <c r="AB326" s="203"/>
      <c r="AC326" s="203"/>
      <c r="AD326" s="203"/>
      <c r="AE326" s="203"/>
      <c r="AF326" s="203"/>
      <c r="AG326" s="203"/>
      <c r="AH326" s="203"/>
      <c r="AI326" s="203"/>
      <c r="AJ326" s="203"/>
    </row>
    <row r="327" spans="1:36" s="32" customFormat="1">
      <c r="A327" s="131">
        <f>IF(F327&lt;&gt;"",1+MAX($A$2:A326),"")</f>
        <v>232</v>
      </c>
      <c r="B327" s="358"/>
      <c r="C327" s="137"/>
      <c r="D327" s="167" t="s">
        <v>277</v>
      </c>
      <c r="E327" s="134">
        <v>52</v>
      </c>
      <c r="F327" s="176">
        <v>0.05</v>
      </c>
      <c r="G327" s="177">
        <f t="shared" si="275"/>
        <v>54.6</v>
      </c>
      <c r="H327" s="164" t="s">
        <v>71</v>
      </c>
      <c r="I327" s="250">
        <v>0.28599999999999998</v>
      </c>
      <c r="J327" s="149">
        <f t="shared" si="271"/>
        <v>15.615600000000001</v>
      </c>
      <c r="K327" s="151">
        <f>'LABOR SHEET'!C$4</f>
        <v>96.91</v>
      </c>
      <c r="L327" s="150">
        <f t="shared" si="272"/>
        <v>27.716259999999998</v>
      </c>
      <c r="M327" s="150">
        <f t="shared" si="273"/>
        <v>1513.3077960000001</v>
      </c>
      <c r="N327" s="251">
        <v>37.5</v>
      </c>
      <c r="O327" s="150">
        <f t="shared" si="274"/>
        <v>2047.5</v>
      </c>
      <c r="P327" s="150">
        <f t="shared" si="276"/>
        <v>65.216260000000005</v>
      </c>
      <c r="Q327" s="104">
        <f t="shared" si="277"/>
        <v>3560.8077960000001</v>
      </c>
      <c r="R327" s="203"/>
      <c r="S327" s="203"/>
      <c r="T327" s="203"/>
      <c r="U327" s="203"/>
      <c r="V327" s="203"/>
      <c r="W327" s="203"/>
      <c r="X327" s="203"/>
      <c r="Y327" s="203"/>
      <c r="Z327" s="203"/>
      <c r="AA327" s="203"/>
      <c r="AB327" s="203"/>
      <c r="AC327" s="203"/>
      <c r="AD327" s="203"/>
      <c r="AE327" s="203"/>
      <c r="AF327" s="203"/>
      <c r="AG327" s="203"/>
      <c r="AH327" s="203"/>
      <c r="AI327" s="203"/>
      <c r="AJ327" s="203"/>
    </row>
    <row r="328" spans="1:36" s="32" customFormat="1">
      <c r="A328" s="131">
        <f>IF(F328&lt;&gt;"",1+MAX($A$2:A327),"")</f>
        <v>233</v>
      </c>
      <c r="B328" s="358"/>
      <c r="C328" s="137"/>
      <c r="D328" s="167" t="s">
        <v>278</v>
      </c>
      <c r="E328" s="134">
        <v>185</v>
      </c>
      <c r="F328" s="176">
        <v>0.05</v>
      </c>
      <c r="G328" s="177">
        <f t="shared" si="275"/>
        <v>194.25</v>
      </c>
      <c r="H328" s="164" t="s">
        <v>71</v>
      </c>
      <c r="I328" s="250">
        <v>0.105</v>
      </c>
      <c r="J328" s="149">
        <f t="shared" si="271"/>
        <v>20.396249999999998</v>
      </c>
      <c r="K328" s="151">
        <f>'LABOR SHEET'!C$4</f>
        <v>96.91</v>
      </c>
      <c r="L328" s="150">
        <f t="shared" si="272"/>
        <v>10.175549999999999</v>
      </c>
      <c r="M328" s="150">
        <f t="shared" si="273"/>
        <v>1976.6005875000001</v>
      </c>
      <c r="N328" s="251">
        <v>5.5</v>
      </c>
      <c r="O328" s="150">
        <f t="shared" si="274"/>
        <v>1068.375</v>
      </c>
      <c r="P328" s="150">
        <f t="shared" si="276"/>
        <v>15.675549999999999</v>
      </c>
      <c r="Q328" s="104">
        <f t="shared" si="277"/>
        <v>3044.9755875000001</v>
      </c>
      <c r="R328" s="203"/>
      <c r="S328" s="203"/>
      <c r="T328" s="203"/>
      <c r="U328" s="203"/>
      <c r="V328" s="203"/>
      <c r="W328" s="203"/>
      <c r="X328" s="203"/>
      <c r="Y328" s="203"/>
      <c r="Z328" s="203"/>
      <c r="AA328" s="203"/>
      <c r="AB328" s="203"/>
      <c r="AC328" s="203"/>
      <c r="AD328" s="203"/>
      <c r="AE328" s="203"/>
      <c r="AF328" s="203"/>
      <c r="AG328" s="203"/>
      <c r="AH328" s="203"/>
      <c r="AI328" s="203"/>
      <c r="AJ328" s="203"/>
    </row>
    <row r="329" spans="1:36" s="32" customFormat="1">
      <c r="A329" s="131">
        <f>IF(F329&lt;&gt;"",1+MAX($A$2:A328),"")</f>
        <v>234</v>
      </c>
      <c r="B329" s="358"/>
      <c r="C329" s="137"/>
      <c r="D329" s="167" t="s">
        <v>279</v>
      </c>
      <c r="E329" s="134">
        <v>77</v>
      </c>
      <c r="F329" s="176">
        <v>0.05</v>
      </c>
      <c r="G329" s="177">
        <f t="shared" si="275"/>
        <v>80.849999999999994</v>
      </c>
      <c r="H329" s="164" t="s">
        <v>71</v>
      </c>
      <c r="I329" s="250">
        <v>0.154</v>
      </c>
      <c r="J329" s="149">
        <f t="shared" si="271"/>
        <v>12.450900000000001</v>
      </c>
      <c r="K329" s="151">
        <f>'LABOR SHEET'!C$4</f>
        <v>96.91</v>
      </c>
      <c r="L329" s="150">
        <f t="shared" si="272"/>
        <v>14.92414</v>
      </c>
      <c r="M329" s="150">
        <f t="shared" si="273"/>
        <v>1206.6167190000001</v>
      </c>
      <c r="N329" s="251">
        <v>12.25</v>
      </c>
      <c r="O329" s="150">
        <f t="shared" si="274"/>
        <v>990.41250000000002</v>
      </c>
      <c r="P329" s="150">
        <f t="shared" si="276"/>
        <v>27.174140000000001</v>
      </c>
      <c r="Q329" s="104">
        <f t="shared" si="277"/>
        <v>2197.029219</v>
      </c>
      <c r="R329" s="203"/>
      <c r="S329" s="203"/>
      <c r="T329" s="203"/>
      <c r="U329" s="203"/>
      <c r="V329" s="203"/>
      <c r="W329" s="203"/>
      <c r="X329" s="203"/>
      <c r="Y329" s="203"/>
      <c r="Z329" s="203"/>
      <c r="AA329" s="203"/>
      <c r="AB329" s="203"/>
      <c r="AC329" s="203"/>
      <c r="AD329" s="203"/>
      <c r="AE329" s="203"/>
      <c r="AF329" s="203"/>
      <c r="AG329" s="203"/>
      <c r="AH329" s="203"/>
      <c r="AI329" s="203"/>
      <c r="AJ329" s="203"/>
    </row>
    <row r="330" spans="1:36" s="32" customFormat="1">
      <c r="A330" s="131">
        <f>IF(F330&lt;&gt;"",1+MAX($A$2:A329),"")</f>
        <v>235</v>
      </c>
      <c r="B330" s="358"/>
      <c r="C330" s="137"/>
      <c r="D330" s="167" t="s">
        <v>280</v>
      </c>
      <c r="E330" s="134">
        <v>95</v>
      </c>
      <c r="F330" s="176">
        <v>0.05</v>
      </c>
      <c r="G330" s="177">
        <f t="shared" si="275"/>
        <v>99.75</v>
      </c>
      <c r="H330" s="164" t="s">
        <v>71</v>
      </c>
      <c r="I330" s="250">
        <v>0.13800000000000001</v>
      </c>
      <c r="J330" s="149">
        <f t="shared" si="271"/>
        <v>13.765499999999999</v>
      </c>
      <c r="K330" s="151">
        <f>'LABOR SHEET'!C$4</f>
        <v>96.91</v>
      </c>
      <c r="L330" s="150">
        <f t="shared" si="272"/>
        <v>13.37358</v>
      </c>
      <c r="M330" s="150">
        <f t="shared" si="273"/>
        <v>1334.0146050000001</v>
      </c>
      <c r="N330" s="251">
        <v>9.85</v>
      </c>
      <c r="O330" s="150">
        <f t="shared" si="274"/>
        <v>982.53750000000002</v>
      </c>
      <c r="P330" s="150">
        <f t="shared" si="276"/>
        <v>23.223579999999998</v>
      </c>
      <c r="Q330" s="104">
        <f t="shared" si="277"/>
        <v>2316.5521050000002</v>
      </c>
      <c r="R330" s="203"/>
      <c r="S330" s="203"/>
      <c r="T330" s="203"/>
      <c r="U330" s="203"/>
      <c r="V330" s="203"/>
      <c r="W330" s="203"/>
      <c r="X330" s="203"/>
      <c r="Y330" s="203"/>
      <c r="Z330" s="203"/>
      <c r="AA330" s="203"/>
      <c r="AB330" s="203"/>
      <c r="AC330" s="203"/>
      <c r="AD330" s="203"/>
      <c r="AE330" s="203"/>
      <c r="AF330" s="203"/>
      <c r="AG330" s="203"/>
      <c r="AH330" s="203"/>
      <c r="AI330" s="203"/>
      <c r="AJ330" s="203"/>
    </row>
    <row r="331" spans="1:36" s="32" customFormat="1">
      <c r="A331" s="131">
        <f>IF(F331&lt;&gt;"",1+MAX($A$2:A330),"")</f>
        <v>236</v>
      </c>
      <c r="B331" s="358"/>
      <c r="C331" s="137"/>
      <c r="D331" s="207" t="s">
        <v>281</v>
      </c>
      <c r="E331" s="134">
        <v>155</v>
      </c>
      <c r="F331" s="176">
        <v>0.05</v>
      </c>
      <c r="G331" s="177">
        <f t="shared" si="275"/>
        <v>162.75</v>
      </c>
      <c r="H331" s="164" t="s">
        <v>71</v>
      </c>
      <c r="I331" s="148">
        <v>0.124</v>
      </c>
      <c r="J331" s="149">
        <f t="shared" si="271"/>
        <v>20.181000000000001</v>
      </c>
      <c r="K331" s="151">
        <f>'LABOR SHEET'!C$4</f>
        <v>96.91</v>
      </c>
      <c r="L331" s="150">
        <f t="shared" si="272"/>
        <v>12.01684</v>
      </c>
      <c r="M331" s="150">
        <f t="shared" si="273"/>
        <v>1955.74071</v>
      </c>
      <c r="N331" s="150">
        <v>4.17</v>
      </c>
      <c r="O331" s="150">
        <f t="shared" si="274"/>
        <v>678.66750000000002</v>
      </c>
      <c r="P331" s="150">
        <f t="shared" si="276"/>
        <v>16.18684</v>
      </c>
      <c r="Q331" s="104">
        <f t="shared" si="277"/>
        <v>2634.4082100000001</v>
      </c>
      <c r="R331" s="203"/>
      <c r="S331" s="203"/>
      <c r="T331" s="203"/>
      <c r="U331" s="203"/>
      <c r="V331" s="203"/>
      <c r="W331" s="203"/>
      <c r="X331" s="203"/>
      <c r="Y331" s="203"/>
      <c r="Z331" s="203"/>
      <c r="AA331" s="203"/>
      <c r="AB331" s="203"/>
      <c r="AC331" s="203"/>
      <c r="AD331" s="203"/>
      <c r="AE331" s="203"/>
      <c r="AF331" s="203"/>
      <c r="AG331" s="203"/>
      <c r="AH331" s="203"/>
      <c r="AI331" s="203"/>
      <c r="AJ331" s="203"/>
    </row>
    <row r="332" spans="1:36" s="32" customFormat="1">
      <c r="A332" s="131" t="str">
        <f>IF(F332&lt;&gt;"",1+MAX($A$2:A331),"")</f>
        <v/>
      </c>
      <c r="B332" s="256"/>
      <c r="C332" s="137"/>
      <c r="D332" s="167"/>
      <c r="E332" s="134"/>
      <c r="F332" s="176"/>
      <c r="G332" s="177"/>
      <c r="H332" s="164"/>
      <c r="I332" s="148"/>
      <c r="J332" s="149"/>
      <c r="K332" s="151"/>
      <c r="L332" s="150"/>
      <c r="M332" s="242"/>
      <c r="N332" s="242"/>
      <c r="O332" s="242"/>
      <c r="P332" s="242"/>
      <c r="Q332" s="153"/>
      <c r="R332" s="203"/>
      <c r="S332" s="203"/>
      <c r="T332" s="203"/>
      <c r="U332" s="203"/>
      <c r="V332" s="203"/>
      <c r="W332" s="203"/>
      <c r="X332" s="203"/>
      <c r="Y332" s="203"/>
      <c r="Z332" s="203"/>
      <c r="AA332" s="203"/>
      <c r="AB332" s="203"/>
      <c r="AC332" s="203"/>
      <c r="AD332" s="203"/>
      <c r="AE332" s="203"/>
      <c r="AF332" s="203"/>
      <c r="AG332" s="203"/>
      <c r="AH332" s="203"/>
      <c r="AI332" s="203"/>
      <c r="AJ332" s="203"/>
    </row>
    <row r="333" spans="1:36" s="32" customFormat="1">
      <c r="A333" s="131" t="str">
        <f>IF(F333&lt;&gt;"",1+MAX($A$2:A332),"")</f>
        <v/>
      </c>
      <c r="B333" s="228"/>
      <c r="C333" s="220"/>
      <c r="D333" s="71" t="s">
        <v>53</v>
      </c>
      <c r="E333" s="230"/>
      <c r="F333" s="230"/>
      <c r="G333" s="231"/>
      <c r="H333" s="230"/>
      <c r="I333" s="230"/>
      <c r="J333" s="192"/>
      <c r="K333" s="192"/>
      <c r="L333" s="193"/>
      <c r="M333" s="194"/>
      <c r="N333" s="193"/>
      <c r="O333" s="193"/>
      <c r="P333" s="249"/>
      <c r="Q333" s="199">
        <f>SUM(Q301:Q331)</f>
        <v>86779.111885499995</v>
      </c>
      <c r="S333" s="254"/>
    </row>
    <row r="334" spans="1:36" s="32" customFormat="1">
      <c r="A334" s="131" t="str">
        <f>IF(F334&lt;&gt;"",1+MAX($A$2:A333),"")</f>
        <v/>
      </c>
      <c r="B334" s="233"/>
      <c r="C334" s="233"/>
      <c r="D334" s="233"/>
      <c r="E334" s="233"/>
      <c r="F334" s="233"/>
      <c r="G334" s="233"/>
      <c r="H334" s="233"/>
      <c r="I334" s="233"/>
      <c r="J334" s="233"/>
      <c r="K334" s="233"/>
      <c r="L334" s="233"/>
      <c r="M334" s="233"/>
      <c r="N334" s="233"/>
      <c r="O334" s="233"/>
      <c r="P334" s="233"/>
      <c r="Q334" s="255"/>
      <c r="S334" s="254"/>
    </row>
    <row r="335" spans="1:36" s="32" customFormat="1">
      <c r="A335" s="131" t="str">
        <f>IF(F335&lt;&gt;"",1+MAX($A$2:A334),"")</f>
        <v/>
      </c>
      <c r="B335" s="48"/>
      <c r="C335" s="48">
        <v>23</v>
      </c>
      <c r="D335" s="50" t="s">
        <v>282</v>
      </c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155"/>
      <c r="S335" s="254"/>
    </row>
    <row r="336" spans="1:36" s="32" customFormat="1">
      <c r="A336" s="131" t="str">
        <f>IF(F336&lt;&gt;"",1+MAX($A$2:A335),"")</f>
        <v/>
      </c>
      <c r="B336" s="238"/>
      <c r="C336" s="134"/>
      <c r="D336" s="221" t="s">
        <v>250</v>
      </c>
      <c r="E336" s="164"/>
      <c r="F336" s="164"/>
      <c r="G336" s="164"/>
      <c r="H336" s="164"/>
      <c r="I336" s="245"/>
      <c r="J336" s="246"/>
      <c r="K336" s="247"/>
      <c r="L336" s="150"/>
      <c r="M336" s="150"/>
      <c r="N336" s="150"/>
      <c r="O336" s="150"/>
      <c r="P336" s="150"/>
      <c r="Q336" s="152"/>
      <c r="R336" s="203"/>
      <c r="S336" s="203"/>
      <c r="T336" s="203"/>
      <c r="U336" s="203"/>
      <c r="V336" s="203"/>
      <c r="W336" s="203"/>
      <c r="X336" s="203"/>
      <c r="Y336" s="203"/>
      <c r="Z336" s="203"/>
      <c r="AA336" s="203"/>
      <c r="AB336" s="203"/>
      <c r="AC336" s="203"/>
      <c r="AD336" s="203"/>
      <c r="AE336" s="203"/>
      <c r="AF336" s="203"/>
      <c r="AG336" s="203"/>
      <c r="AH336" s="203"/>
      <c r="AI336" s="203"/>
      <c r="AJ336" s="203"/>
    </row>
    <row r="337" spans="1:36" s="32" customFormat="1">
      <c r="A337" s="131">
        <f>IF(F337&lt;&gt;"",1+MAX($A$2:A336),"")</f>
        <v>237</v>
      </c>
      <c r="B337" s="360" t="s">
        <v>283</v>
      </c>
      <c r="C337" s="137"/>
      <c r="D337" s="167" t="s">
        <v>284</v>
      </c>
      <c r="E337" s="134">
        <v>10</v>
      </c>
      <c r="F337" s="176">
        <v>0</v>
      </c>
      <c r="G337" s="177">
        <f t="shared" ref="G337:G345" si="278">E337*(1+F337)</f>
        <v>10</v>
      </c>
      <c r="H337" s="164" t="s">
        <v>81</v>
      </c>
      <c r="I337" s="250">
        <v>1.45</v>
      </c>
      <c r="J337" s="149">
        <f t="shared" ref="J337" si="279">+I337*G337</f>
        <v>14.5</v>
      </c>
      <c r="K337" s="151">
        <f>'LABOR SHEET'!C$5</f>
        <v>96.91</v>
      </c>
      <c r="L337" s="150">
        <f t="shared" ref="L337" si="280">I337*K337</f>
        <v>140.51949999999999</v>
      </c>
      <c r="M337" s="150">
        <f t="shared" ref="M337" si="281">K337*J337</f>
        <v>1405.1949999999999</v>
      </c>
      <c r="N337" s="251">
        <v>169</v>
      </c>
      <c r="O337" s="150">
        <f t="shared" ref="O337" si="282">N337*G337</f>
        <v>1690</v>
      </c>
      <c r="P337" s="150">
        <f t="shared" ref="P337" si="283">(I337*K337)+N337</f>
        <v>309.51949999999999</v>
      </c>
      <c r="Q337" s="104">
        <f t="shared" ref="Q337" si="284">P337*G337</f>
        <v>3095.1950000000002</v>
      </c>
      <c r="R337" s="203"/>
      <c r="S337" s="203"/>
      <c r="T337" s="203"/>
      <c r="U337" s="203"/>
      <c r="V337" s="203"/>
      <c r="W337" s="203"/>
      <c r="X337" s="203"/>
      <c r="Y337" s="203"/>
      <c r="Z337" s="203"/>
      <c r="AA337" s="203"/>
      <c r="AB337" s="203"/>
      <c r="AC337" s="203"/>
      <c r="AD337" s="203"/>
      <c r="AE337" s="203"/>
      <c r="AF337" s="203"/>
      <c r="AG337" s="203"/>
      <c r="AH337" s="203"/>
      <c r="AI337" s="203"/>
      <c r="AJ337" s="203"/>
    </row>
    <row r="338" spans="1:36" s="32" customFormat="1">
      <c r="A338" s="131">
        <f>IF(F338&lt;&gt;"",1+MAX($A$2:A337),"")</f>
        <v>238</v>
      </c>
      <c r="B338" s="358"/>
      <c r="C338" s="137"/>
      <c r="D338" s="167" t="s">
        <v>285</v>
      </c>
      <c r="E338" s="134">
        <v>1</v>
      </c>
      <c r="F338" s="176">
        <v>0</v>
      </c>
      <c r="G338" s="177">
        <f t="shared" si="278"/>
        <v>1</v>
      </c>
      <c r="H338" s="164" t="s">
        <v>81</v>
      </c>
      <c r="I338" s="250">
        <v>1.85</v>
      </c>
      <c r="J338" s="149">
        <f t="shared" ref="J338" si="285">+I338*G338</f>
        <v>1.85</v>
      </c>
      <c r="K338" s="151">
        <f>'LABOR SHEET'!C$5</f>
        <v>96.91</v>
      </c>
      <c r="L338" s="150">
        <f t="shared" ref="L338" si="286">I338*K338</f>
        <v>179.2835</v>
      </c>
      <c r="M338" s="150">
        <f t="shared" ref="M338" si="287">K338*J338</f>
        <v>179.2835</v>
      </c>
      <c r="N338" s="251">
        <v>225</v>
      </c>
      <c r="O338" s="150">
        <f t="shared" ref="O338" si="288">N338*G338</f>
        <v>225</v>
      </c>
      <c r="P338" s="150">
        <f t="shared" ref="P338" si="289">(I338*K338)+N338</f>
        <v>404.2835</v>
      </c>
      <c r="Q338" s="104">
        <f t="shared" ref="Q338" si="290">P338*G338</f>
        <v>404.2835</v>
      </c>
      <c r="R338" s="203"/>
      <c r="S338" s="203"/>
      <c r="T338" s="203"/>
      <c r="U338" s="203"/>
      <c r="V338" s="203"/>
      <c r="W338" s="203"/>
      <c r="X338" s="203"/>
      <c r="Y338" s="203"/>
      <c r="Z338" s="203"/>
      <c r="AA338" s="203"/>
      <c r="AB338" s="203"/>
      <c r="AC338" s="203"/>
      <c r="AD338" s="203"/>
      <c r="AE338" s="203"/>
      <c r="AF338" s="203"/>
      <c r="AG338" s="203"/>
      <c r="AH338" s="203"/>
      <c r="AI338" s="203"/>
      <c r="AJ338" s="203"/>
    </row>
    <row r="339" spans="1:36" s="32" customFormat="1">
      <c r="A339" s="131" t="str">
        <f>IF(F339&lt;&gt;"",1+MAX($A$2:A338),"")</f>
        <v/>
      </c>
      <c r="B339" s="358"/>
      <c r="C339" s="137"/>
      <c r="D339" s="167"/>
      <c r="E339" s="134"/>
      <c r="F339" s="176"/>
      <c r="G339" s="177"/>
      <c r="H339" s="164"/>
      <c r="I339" s="250"/>
      <c r="J339" s="149"/>
      <c r="K339" s="151"/>
      <c r="L339" s="150"/>
      <c r="M339" s="257"/>
      <c r="N339" s="251"/>
      <c r="O339" s="150"/>
      <c r="P339" s="150"/>
      <c r="Q339" s="152"/>
      <c r="R339" s="203"/>
      <c r="S339" s="203"/>
      <c r="T339" s="203"/>
      <c r="U339" s="203"/>
      <c r="V339" s="203"/>
      <c r="W339" s="203"/>
      <c r="X339" s="203"/>
      <c r="Y339" s="203"/>
      <c r="Z339" s="203"/>
      <c r="AA339" s="203"/>
      <c r="AB339" s="203"/>
      <c r="AC339" s="203"/>
      <c r="AD339" s="203"/>
      <c r="AE339" s="203"/>
      <c r="AF339" s="203"/>
      <c r="AG339" s="203"/>
      <c r="AH339" s="203"/>
      <c r="AI339" s="203"/>
      <c r="AJ339" s="203"/>
    </row>
    <row r="340" spans="1:36" s="32" customFormat="1">
      <c r="A340" s="131" t="str">
        <f>IF(F340&lt;&gt;"",1+MAX($A$2:A339),"")</f>
        <v/>
      </c>
      <c r="B340" s="358"/>
      <c r="C340" s="134"/>
      <c r="D340" s="221" t="s">
        <v>286</v>
      </c>
      <c r="E340" s="164"/>
      <c r="F340" s="164"/>
      <c r="G340" s="164"/>
      <c r="H340" s="164"/>
      <c r="I340" s="258"/>
      <c r="J340" s="246"/>
      <c r="K340" s="247"/>
      <c r="L340" s="150"/>
      <c r="M340" s="150"/>
      <c r="N340" s="251"/>
      <c r="O340" s="150"/>
      <c r="P340" s="150"/>
      <c r="Q340" s="152"/>
      <c r="R340" s="203"/>
      <c r="S340" s="203"/>
      <c r="T340" s="203"/>
      <c r="U340" s="203"/>
      <c r="V340" s="203"/>
      <c r="W340" s="203"/>
      <c r="X340" s="203"/>
      <c r="Y340" s="203"/>
      <c r="Z340" s="203"/>
      <c r="AA340" s="203"/>
      <c r="AB340" s="203"/>
      <c r="AC340" s="203"/>
      <c r="AD340" s="203"/>
      <c r="AE340" s="203"/>
      <c r="AF340" s="203"/>
      <c r="AG340" s="203"/>
      <c r="AH340" s="203"/>
      <c r="AI340" s="203"/>
      <c r="AJ340" s="203"/>
    </row>
    <row r="341" spans="1:36" s="32" customFormat="1">
      <c r="A341" s="131">
        <f>IF(F341&lt;&gt;"",1+MAX($A$2:A340),"")</f>
        <v>239</v>
      </c>
      <c r="B341" s="358"/>
      <c r="C341" s="137"/>
      <c r="D341" s="167" t="s">
        <v>287</v>
      </c>
      <c r="E341" s="134">
        <v>1</v>
      </c>
      <c r="F341" s="176">
        <v>0</v>
      </c>
      <c r="G341" s="177">
        <f t="shared" si="278"/>
        <v>1</v>
      </c>
      <c r="H341" s="164" t="s">
        <v>81</v>
      </c>
      <c r="I341" s="250">
        <v>0.7</v>
      </c>
      <c r="J341" s="149">
        <f t="shared" ref="J341:J349" si="291">+I341*G341</f>
        <v>0.7</v>
      </c>
      <c r="K341" s="151">
        <f>'LABOR SHEET'!C$5</f>
        <v>96.91</v>
      </c>
      <c r="L341" s="150">
        <f t="shared" ref="L341:L349" si="292">I341*K341</f>
        <v>67.837000000000003</v>
      </c>
      <c r="M341" s="150">
        <f t="shared" ref="M341:M349" si="293">K341*J341</f>
        <v>67.837000000000003</v>
      </c>
      <c r="N341" s="251">
        <v>64.28</v>
      </c>
      <c r="O341" s="150">
        <f t="shared" ref="O341:O349" si="294">N341*G341</f>
        <v>64.28</v>
      </c>
      <c r="P341" s="150">
        <f t="shared" ref="P341:P349" si="295">(I341*K341)+N341</f>
        <v>132.11699999999999</v>
      </c>
      <c r="Q341" s="104">
        <f t="shared" ref="Q341:Q349" si="296">P341*G341</f>
        <v>132.11699999999999</v>
      </c>
      <c r="R341" s="203"/>
      <c r="S341" s="203"/>
      <c r="T341" s="203"/>
      <c r="U341" s="203"/>
      <c r="V341" s="203"/>
      <c r="W341" s="203"/>
      <c r="X341" s="203"/>
      <c r="Y341" s="203"/>
      <c r="Z341" s="203"/>
      <c r="AA341" s="203"/>
      <c r="AB341" s="203"/>
      <c r="AC341" s="203"/>
      <c r="AD341" s="203"/>
      <c r="AE341" s="203"/>
      <c r="AF341" s="203"/>
      <c r="AG341" s="203"/>
      <c r="AH341" s="203"/>
      <c r="AI341" s="203"/>
      <c r="AJ341" s="203"/>
    </row>
    <row r="342" spans="1:36" s="32" customFormat="1">
      <c r="A342" s="131">
        <f>IF(F342&lt;&gt;"",1+MAX($A$2:A341),"")</f>
        <v>240</v>
      </c>
      <c r="B342" s="358"/>
      <c r="C342" s="137"/>
      <c r="D342" s="167" t="s">
        <v>288</v>
      </c>
      <c r="E342" s="134">
        <v>1</v>
      </c>
      <c r="F342" s="176">
        <v>0</v>
      </c>
      <c r="G342" s="177">
        <f t="shared" si="278"/>
        <v>1</v>
      </c>
      <c r="H342" s="164" t="s">
        <v>81</v>
      </c>
      <c r="I342" s="250">
        <v>0.64700000000000002</v>
      </c>
      <c r="J342" s="149">
        <f t="shared" si="291"/>
        <v>0.64700000000000002</v>
      </c>
      <c r="K342" s="151">
        <f>'LABOR SHEET'!C$5</f>
        <v>96.91</v>
      </c>
      <c r="L342" s="150">
        <f t="shared" si="292"/>
        <v>62.700769999999999</v>
      </c>
      <c r="M342" s="150">
        <f t="shared" si="293"/>
        <v>62.700769999999999</v>
      </c>
      <c r="N342" s="251">
        <v>54.53</v>
      </c>
      <c r="O342" s="150">
        <f t="shared" si="294"/>
        <v>54.53</v>
      </c>
      <c r="P342" s="150">
        <f t="shared" si="295"/>
        <v>117.23077000000001</v>
      </c>
      <c r="Q342" s="104">
        <f t="shared" si="296"/>
        <v>117.23077000000001</v>
      </c>
      <c r="R342" s="203"/>
      <c r="S342" s="203"/>
      <c r="T342" s="203"/>
      <c r="U342" s="203"/>
      <c r="V342" s="203"/>
      <c r="W342" s="203"/>
      <c r="X342" s="203"/>
      <c r="Y342" s="203"/>
      <c r="Z342" s="203"/>
      <c r="AA342" s="203"/>
      <c r="AB342" s="203"/>
      <c r="AC342" s="203"/>
      <c r="AD342" s="203"/>
      <c r="AE342" s="203"/>
      <c r="AF342" s="203"/>
      <c r="AG342" s="203"/>
      <c r="AH342" s="203"/>
      <c r="AI342" s="203"/>
      <c r="AJ342" s="203"/>
    </row>
    <row r="343" spans="1:36" s="32" customFormat="1">
      <c r="A343" s="131">
        <f>IF(F343&lt;&gt;"",1+MAX($A$2:A342),"")</f>
        <v>241</v>
      </c>
      <c r="B343" s="358"/>
      <c r="C343" s="137"/>
      <c r="D343" s="167" t="s">
        <v>289</v>
      </c>
      <c r="E343" s="134">
        <v>4</v>
      </c>
      <c r="F343" s="176">
        <v>0</v>
      </c>
      <c r="G343" s="177">
        <f t="shared" si="278"/>
        <v>4</v>
      </c>
      <c r="H343" s="164" t="s">
        <v>81</v>
      </c>
      <c r="I343" s="250">
        <v>0.77</v>
      </c>
      <c r="J343" s="149">
        <f t="shared" si="291"/>
        <v>3.08</v>
      </c>
      <c r="K343" s="151">
        <f>'LABOR SHEET'!C$5</f>
        <v>96.91</v>
      </c>
      <c r="L343" s="150">
        <f t="shared" si="292"/>
        <v>74.620699999999999</v>
      </c>
      <c r="M343" s="150">
        <f t="shared" si="293"/>
        <v>298.4828</v>
      </c>
      <c r="N343" s="251">
        <v>77.069999999999993</v>
      </c>
      <c r="O343" s="150">
        <f t="shared" si="294"/>
        <v>308.27999999999997</v>
      </c>
      <c r="P343" s="150">
        <f t="shared" si="295"/>
        <v>151.69069999999999</v>
      </c>
      <c r="Q343" s="104">
        <f t="shared" si="296"/>
        <v>606.76279999999997</v>
      </c>
      <c r="R343" s="203"/>
      <c r="S343" s="203"/>
      <c r="T343" s="203"/>
      <c r="U343" s="203"/>
      <c r="V343" s="203"/>
      <c r="W343" s="203"/>
      <c r="X343" s="203"/>
      <c r="Y343" s="203"/>
      <c r="Z343" s="203"/>
      <c r="AA343" s="203"/>
      <c r="AB343" s="203"/>
      <c r="AC343" s="203"/>
      <c r="AD343" s="203"/>
      <c r="AE343" s="203"/>
      <c r="AF343" s="203"/>
      <c r="AG343" s="203"/>
      <c r="AH343" s="203"/>
      <c r="AI343" s="203"/>
      <c r="AJ343" s="203"/>
    </row>
    <row r="344" spans="1:36" s="32" customFormat="1">
      <c r="A344" s="131">
        <f>IF(F344&lt;&gt;"",1+MAX($A$2:A343),"")</f>
        <v>242</v>
      </c>
      <c r="B344" s="358"/>
      <c r="C344" s="137"/>
      <c r="D344" s="167" t="s">
        <v>290</v>
      </c>
      <c r="E344" s="134">
        <v>1</v>
      </c>
      <c r="F344" s="176">
        <v>0</v>
      </c>
      <c r="G344" s="177">
        <f t="shared" si="278"/>
        <v>1</v>
      </c>
      <c r="H344" s="164" t="s">
        <v>81</v>
      </c>
      <c r="I344" s="250">
        <v>0.83499999999999996</v>
      </c>
      <c r="J344" s="149">
        <f t="shared" si="291"/>
        <v>0.83499999999999996</v>
      </c>
      <c r="K344" s="151">
        <f>'LABOR SHEET'!C$5</f>
        <v>96.91</v>
      </c>
      <c r="L344" s="150">
        <f t="shared" si="292"/>
        <v>80.919849999999997</v>
      </c>
      <c r="M344" s="150">
        <f t="shared" si="293"/>
        <v>80.919849999999997</v>
      </c>
      <c r="N344" s="251">
        <v>89.1</v>
      </c>
      <c r="O344" s="150">
        <f t="shared" si="294"/>
        <v>89.1</v>
      </c>
      <c r="P344" s="150">
        <f t="shared" si="295"/>
        <v>170.01984999999999</v>
      </c>
      <c r="Q344" s="104">
        <f t="shared" si="296"/>
        <v>170.01984999999999</v>
      </c>
      <c r="R344" s="203"/>
      <c r="S344" s="203"/>
      <c r="T344" s="203"/>
      <c r="U344" s="203"/>
      <c r="V344" s="203"/>
      <c r="W344" s="203"/>
      <c r="X344" s="203"/>
      <c r="Y344" s="203"/>
      <c r="Z344" s="203"/>
      <c r="AA344" s="203"/>
      <c r="AB344" s="203"/>
      <c r="AC344" s="203"/>
      <c r="AD344" s="203"/>
      <c r="AE344" s="203"/>
      <c r="AF344" s="203"/>
      <c r="AG344" s="203"/>
      <c r="AH344" s="203"/>
      <c r="AI344" s="203"/>
      <c r="AJ344" s="203"/>
    </row>
    <row r="345" spans="1:36" s="32" customFormat="1">
      <c r="A345" s="131">
        <f>IF(F345&lt;&gt;"",1+MAX($A$2:A344),"")</f>
        <v>243</v>
      </c>
      <c r="B345" s="358"/>
      <c r="C345" s="137"/>
      <c r="D345" s="167" t="s">
        <v>291</v>
      </c>
      <c r="E345" s="134">
        <v>1</v>
      </c>
      <c r="F345" s="176">
        <v>0</v>
      </c>
      <c r="G345" s="177">
        <f t="shared" si="278"/>
        <v>1</v>
      </c>
      <c r="H345" s="164" t="s">
        <v>81</v>
      </c>
      <c r="I345" s="250">
        <v>0.92600000000000005</v>
      </c>
      <c r="J345" s="149">
        <f t="shared" si="291"/>
        <v>0.92600000000000005</v>
      </c>
      <c r="K345" s="151">
        <f>'LABOR SHEET'!C$5</f>
        <v>96.91</v>
      </c>
      <c r="L345" s="150">
        <f t="shared" si="292"/>
        <v>89.738659999999996</v>
      </c>
      <c r="M345" s="150">
        <f t="shared" si="293"/>
        <v>89.738659999999996</v>
      </c>
      <c r="N345" s="251">
        <v>105.64</v>
      </c>
      <c r="O345" s="150">
        <f t="shared" si="294"/>
        <v>105.64</v>
      </c>
      <c r="P345" s="150">
        <f t="shared" si="295"/>
        <v>195.37866</v>
      </c>
      <c r="Q345" s="104">
        <f t="shared" si="296"/>
        <v>195.37866</v>
      </c>
      <c r="R345" s="203"/>
      <c r="S345" s="203"/>
      <c r="T345" s="203"/>
      <c r="U345" s="203"/>
      <c r="V345" s="203"/>
      <c r="W345" s="203"/>
      <c r="X345" s="203"/>
      <c r="Y345" s="203"/>
      <c r="Z345" s="203"/>
      <c r="AA345" s="203"/>
      <c r="AB345" s="203"/>
      <c r="AC345" s="203"/>
      <c r="AD345" s="203"/>
      <c r="AE345" s="203"/>
      <c r="AF345" s="203"/>
      <c r="AG345" s="203"/>
      <c r="AH345" s="203"/>
      <c r="AI345" s="203"/>
      <c r="AJ345" s="203"/>
    </row>
    <row r="346" spans="1:36" s="32" customFormat="1">
      <c r="A346" s="131">
        <f>IF(F346&lt;&gt;"",1+MAX($A$2:A345),"")</f>
        <v>244</v>
      </c>
      <c r="B346" s="358"/>
      <c r="C346" s="137"/>
      <c r="D346" s="167" t="s">
        <v>292</v>
      </c>
      <c r="E346" s="134">
        <v>2</v>
      </c>
      <c r="F346" s="176">
        <v>0</v>
      </c>
      <c r="G346" s="177">
        <f t="shared" ref="G346:G349" si="297">E346*(1+F346)</f>
        <v>2</v>
      </c>
      <c r="H346" s="164" t="s">
        <v>81</v>
      </c>
      <c r="I346" s="250">
        <v>0.93400000000000005</v>
      </c>
      <c r="J346" s="149">
        <f t="shared" si="291"/>
        <v>1.8680000000000001</v>
      </c>
      <c r="K346" s="151">
        <f>'LABOR SHEET'!C$5</f>
        <v>96.91</v>
      </c>
      <c r="L346" s="150">
        <f t="shared" si="292"/>
        <v>90.513940000000005</v>
      </c>
      <c r="M346" s="150">
        <f t="shared" si="293"/>
        <v>181.02788000000001</v>
      </c>
      <c r="N346" s="251">
        <v>107.14</v>
      </c>
      <c r="O346" s="150">
        <f t="shared" si="294"/>
        <v>214.28</v>
      </c>
      <c r="P346" s="150">
        <f t="shared" si="295"/>
        <v>197.65394000000001</v>
      </c>
      <c r="Q346" s="104">
        <f t="shared" si="296"/>
        <v>395.30788000000001</v>
      </c>
      <c r="R346" s="203"/>
      <c r="S346" s="203"/>
      <c r="T346" s="203"/>
      <c r="U346" s="203"/>
      <c r="V346" s="203"/>
      <c r="W346" s="203"/>
      <c r="X346" s="203"/>
      <c r="Y346" s="203"/>
      <c r="Z346" s="203"/>
      <c r="AA346" s="203"/>
      <c r="AB346" s="203"/>
      <c r="AC346" s="203"/>
      <c r="AD346" s="203"/>
      <c r="AE346" s="203"/>
      <c r="AF346" s="203"/>
      <c r="AG346" s="203"/>
      <c r="AH346" s="203"/>
      <c r="AI346" s="203"/>
      <c r="AJ346" s="203"/>
    </row>
    <row r="347" spans="1:36" s="32" customFormat="1">
      <c r="A347" s="131">
        <f>IF(F347&lt;&gt;"",1+MAX($A$2:A346),"")</f>
        <v>245</v>
      </c>
      <c r="B347" s="358"/>
      <c r="C347" s="137"/>
      <c r="D347" s="167" t="s">
        <v>293</v>
      </c>
      <c r="E347" s="134">
        <v>1</v>
      </c>
      <c r="F347" s="176">
        <v>0</v>
      </c>
      <c r="G347" s="177">
        <f t="shared" si="297"/>
        <v>1</v>
      </c>
      <c r="H347" s="164" t="s">
        <v>81</v>
      </c>
      <c r="I347" s="250">
        <v>0.91100000000000003</v>
      </c>
      <c r="J347" s="149">
        <f t="shared" si="291"/>
        <v>0.91100000000000003</v>
      </c>
      <c r="K347" s="151">
        <f>'LABOR SHEET'!C$5</f>
        <v>96.91</v>
      </c>
      <c r="L347" s="150">
        <f t="shared" si="292"/>
        <v>88.28501</v>
      </c>
      <c r="M347" s="150">
        <f t="shared" si="293"/>
        <v>88.28501</v>
      </c>
      <c r="N347" s="251">
        <v>103.03</v>
      </c>
      <c r="O347" s="150">
        <f t="shared" si="294"/>
        <v>103.03</v>
      </c>
      <c r="P347" s="150">
        <f t="shared" si="295"/>
        <v>191.31501</v>
      </c>
      <c r="Q347" s="104">
        <f t="shared" si="296"/>
        <v>191.31501</v>
      </c>
      <c r="R347" s="203"/>
      <c r="S347" s="203"/>
      <c r="T347" s="203"/>
      <c r="U347" s="203"/>
      <c r="V347" s="203"/>
      <c r="W347" s="203"/>
      <c r="X347" s="203"/>
      <c r="Y347" s="203"/>
      <c r="Z347" s="203"/>
      <c r="AA347" s="203"/>
      <c r="AB347" s="203"/>
      <c r="AC347" s="203"/>
      <c r="AD347" s="203"/>
      <c r="AE347" s="203"/>
      <c r="AF347" s="203"/>
      <c r="AG347" s="203"/>
      <c r="AH347" s="203"/>
      <c r="AI347" s="203"/>
      <c r="AJ347" s="203"/>
    </row>
    <row r="348" spans="1:36" s="32" customFormat="1">
      <c r="A348" s="131">
        <f>IF(F348&lt;&gt;"",1+MAX($A$2:A347),"")</f>
        <v>246</v>
      </c>
      <c r="B348" s="358"/>
      <c r="C348" s="137"/>
      <c r="D348" s="167" t="s">
        <v>294</v>
      </c>
      <c r="E348" s="134">
        <v>1</v>
      </c>
      <c r="F348" s="176">
        <v>0</v>
      </c>
      <c r="G348" s="177">
        <f t="shared" si="297"/>
        <v>1</v>
      </c>
      <c r="H348" s="164" t="s">
        <v>81</v>
      </c>
      <c r="I348" s="250">
        <v>0.92400000000000004</v>
      </c>
      <c r="J348" s="149">
        <f t="shared" si="291"/>
        <v>0.92400000000000004</v>
      </c>
      <c r="K348" s="151">
        <f>'LABOR SHEET'!C$5</f>
        <v>96.91</v>
      </c>
      <c r="L348" s="150">
        <f t="shared" si="292"/>
        <v>89.544839999999994</v>
      </c>
      <c r="M348" s="150">
        <f t="shared" si="293"/>
        <v>89.544839999999994</v>
      </c>
      <c r="N348" s="251">
        <v>105.26</v>
      </c>
      <c r="O348" s="150">
        <f t="shared" si="294"/>
        <v>105.26</v>
      </c>
      <c r="P348" s="150">
        <f t="shared" si="295"/>
        <v>194.80484000000001</v>
      </c>
      <c r="Q348" s="104">
        <f t="shared" si="296"/>
        <v>194.80484000000001</v>
      </c>
      <c r="R348" s="203"/>
      <c r="S348" s="203"/>
      <c r="T348" s="203"/>
      <c r="U348" s="203"/>
      <c r="V348" s="203"/>
      <c r="W348" s="203"/>
      <c r="X348" s="203"/>
      <c r="Y348" s="203"/>
      <c r="Z348" s="203"/>
      <c r="AA348" s="203"/>
      <c r="AB348" s="203"/>
      <c r="AC348" s="203"/>
      <c r="AD348" s="203"/>
      <c r="AE348" s="203"/>
      <c r="AF348" s="203"/>
      <c r="AG348" s="203"/>
      <c r="AH348" s="203"/>
      <c r="AI348" s="203"/>
      <c r="AJ348" s="203"/>
    </row>
    <row r="349" spans="1:36" s="32" customFormat="1">
      <c r="A349" s="131">
        <f>IF(F349&lt;&gt;"",1+MAX($A$2:A348),"")</f>
        <v>247</v>
      </c>
      <c r="B349" s="358"/>
      <c r="C349" s="137"/>
      <c r="D349" s="167" t="s">
        <v>295</v>
      </c>
      <c r="E349" s="134">
        <v>1</v>
      </c>
      <c r="F349" s="176">
        <v>0</v>
      </c>
      <c r="G349" s="177">
        <f t="shared" si="297"/>
        <v>1</v>
      </c>
      <c r="H349" s="164" t="s">
        <v>81</v>
      </c>
      <c r="I349" s="250">
        <v>1.25</v>
      </c>
      <c r="J349" s="149">
        <f t="shared" si="291"/>
        <v>1.25</v>
      </c>
      <c r="K349" s="151">
        <f>'LABOR SHEET'!C$5</f>
        <v>96.91</v>
      </c>
      <c r="L349" s="150">
        <f t="shared" si="292"/>
        <v>121.1375</v>
      </c>
      <c r="M349" s="150">
        <f t="shared" si="293"/>
        <v>121.1375</v>
      </c>
      <c r="N349" s="251">
        <v>165</v>
      </c>
      <c r="O349" s="150">
        <f t="shared" si="294"/>
        <v>165</v>
      </c>
      <c r="P349" s="150">
        <f t="shared" si="295"/>
        <v>286.13749999999999</v>
      </c>
      <c r="Q349" s="104">
        <f t="shared" si="296"/>
        <v>286.13749999999999</v>
      </c>
      <c r="R349" s="203"/>
      <c r="S349" s="203"/>
      <c r="T349" s="203"/>
      <c r="U349" s="203"/>
      <c r="V349" s="203"/>
      <c r="W349" s="203"/>
      <c r="X349" s="203"/>
      <c r="Y349" s="203"/>
      <c r="Z349" s="203"/>
      <c r="AA349" s="203"/>
      <c r="AB349" s="203"/>
      <c r="AC349" s="203"/>
      <c r="AD349" s="203"/>
      <c r="AE349" s="203"/>
      <c r="AF349" s="203"/>
      <c r="AG349" s="203"/>
      <c r="AH349" s="203"/>
      <c r="AI349" s="203"/>
      <c r="AJ349" s="203"/>
    </row>
    <row r="350" spans="1:36" s="32" customFormat="1">
      <c r="A350" s="131" t="str">
        <f>IF(F350&lt;&gt;"",1+MAX($A$2:A349),"")</f>
        <v/>
      </c>
      <c r="B350" s="358"/>
      <c r="C350" s="137"/>
      <c r="D350" s="167"/>
      <c r="E350" s="134"/>
      <c r="F350" s="176"/>
      <c r="G350" s="177"/>
      <c r="H350" s="164"/>
      <c r="I350" s="250"/>
      <c r="J350" s="149"/>
      <c r="K350" s="151"/>
      <c r="L350" s="150"/>
      <c r="M350" s="150"/>
      <c r="N350" s="251"/>
      <c r="O350" s="150"/>
      <c r="P350" s="150"/>
      <c r="Q350" s="104"/>
      <c r="R350" s="203"/>
      <c r="S350" s="203"/>
      <c r="T350" s="203"/>
      <c r="U350" s="203"/>
      <c r="V350" s="203"/>
      <c r="W350" s="203"/>
      <c r="X350" s="203"/>
      <c r="Y350" s="203"/>
      <c r="Z350" s="203"/>
      <c r="AA350" s="203"/>
      <c r="AB350" s="203"/>
      <c r="AC350" s="203"/>
      <c r="AD350" s="203"/>
      <c r="AE350" s="203"/>
      <c r="AF350" s="203"/>
      <c r="AG350" s="203"/>
      <c r="AH350" s="203"/>
      <c r="AI350" s="203"/>
      <c r="AJ350" s="203"/>
    </row>
    <row r="351" spans="1:36" s="32" customFormat="1">
      <c r="A351" s="131" t="str">
        <f>IF(F351&lt;&gt;"",1+MAX($A$2:A350),"")</f>
        <v/>
      </c>
      <c r="B351" s="358"/>
      <c r="C351" s="134"/>
      <c r="D351" s="221" t="s">
        <v>296</v>
      </c>
      <c r="E351" s="164"/>
      <c r="F351" s="164"/>
      <c r="G351" s="164"/>
      <c r="H351" s="164"/>
      <c r="I351" s="258"/>
      <c r="J351" s="246"/>
      <c r="K351" s="247"/>
      <c r="L351" s="150"/>
      <c r="M351" s="150"/>
      <c r="N351" s="251"/>
      <c r="O351" s="150"/>
      <c r="P351" s="150"/>
      <c r="Q351" s="152"/>
      <c r="R351" s="203"/>
      <c r="S351" s="203"/>
      <c r="T351" s="203"/>
      <c r="U351" s="203"/>
      <c r="V351" s="203"/>
      <c r="W351" s="203"/>
      <c r="X351" s="203"/>
      <c r="Y351" s="203"/>
      <c r="Z351" s="203"/>
      <c r="AA351" s="203"/>
      <c r="AB351" s="203"/>
      <c r="AC351" s="203"/>
      <c r="AD351" s="203"/>
      <c r="AE351" s="203"/>
      <c r="AF351" s="203"/>
      <c r="AG351" s="203"/>
      <c r="AH351" s="203"/>
      <c r="AI351" s="203"/>
      <c r="AJ351" s="203"/>
    </row>
    <row r="352" spans="1:36" s="32" customFormat="1" ht="31.2">
      <c r="A352" s="131">
        <f>IF(F352&lt;&gt;"",1+MAX($A$2:A351),"")</f>
        <v>248</v>
      </c>
      <c r="B352" s="358"/>
      <c r="C352" s="137"/>
      <c r="D352" s="167" t="s">
        <v>297</v>
      </c>
      <c r="E352" s="134">
        <v>1</v>
      </c>
      <c r="F352" s="176">
        <v>0</v>
      </c>
      <c r="G352" s="177">
        <f t="shared" ref="G352:G371" si="298">E352*(1+F352)</f>
        <v>1</v>
      </c>
      <c r="H352" s="164" t="s">
        <v>81</v>
      </c>
      <c r="I352" s="250">
        <v>1</v>
      </c>
      <c r="J352" s="149">
        <f t="shared" ref="J352:J384" si="299">+I352*G352</f>
        <v>1</v>
      </c>
      <c r="K352" s="151">
        <f>'LABOR SHEET'!C$5</f>
        <v>96.91</v>
      </c>
      <c r="L352" s="150">
        <f t="shared" ref="L352:L384" si="300">I352*K352</f>
        <v>96.91</v>
      </c>
      <c r="M352" s="150">
        <f t="shared" ref="M352:M384" si="301">K352*J352</f>
        <v>96.91</v>
      </c>
      <c r="N352" s="251">
        <v>90</v>
      </c>
      <c r="O352" s="150">
        <f t="shared" ref="O352:O384" si="302">N352*G352</f>
        <v>90</v>
      </c>
      <c r="P352" s="150">
        <f t="shared" ref="P352:P384" si="303">(I352*K352)+N352</f>
        <v>186.91</v>
      </c>
      <c r="Q352" s="104">
        <f t="shared" ref="Q352:Q384" si="304">P352*G352</f>
        <v>186.91</v>
      </c>
      <c r="R352" s="203"/>
      <c r="S352" s="203"/>
      <c r="T352" s="203"/>
      <c r="U352" s="203"/>
      <c r="V352" s="203"/>
      <c r="W352" s="203"/>
      <c r="X352" s="203"/>
      <c r="Y352" s="203"/>
      <c r="Z352" s="203"/>
      <c r="AA352" s="203"/>
      <c r="AB352" s="203"/>
      <c r="AC352" s="203"/>
      <c r="AD352" s="203"/>
      <c r="AE352" s="203"/>
      <c r="AF352" s="203"/>
      <c r="AG352" s="203"/>
      <c r="AH352" s="203"/>
      <c r="AI352" s="203"/>
      <c r="AJ352" s="203"/>
    </row>
    <row r="353" spans="1:36" s="32" customFormat="1" ht="31.2">
      <c r="A353" s="131">
        <f>IF(F353&lt;&gt;"",1+MAX($A$2:A352),"")</f>
        <v>249</v>
      </c>
      <c r="B353" s="358"/>
      <c r="C353" s="137"/>
      <c r="D353" s="167" t="s">
        <v>298</v>
      </c>
      <c r="E353" s="134">
        <v>3</v>
      </c>
      <c r="F353" s="176">
        <v>0</v>
      </c>
      <c r="G353" s="177">
        <f t="shared" si="298"/>
        <v>3</v>
      </c>
      <c r="H353" s="164" t="s">
        <v>81</v>
      </c>
      <c r="I353" s="250">
        <v>1</v>
      </c>
      <c r="J353" s="149">
        <f t="shared" si="299"/>
        <v>3</v>
      </c>
      <c r="K353" s="151">
        <f>'LABOR SHEET'!C$5</f>
        <v>96.91</v>
      </c>
      <c r="L353" s="150">
        <f t="shared" si="300"/>
        <v>96.91</v>
      </c>
      <c r="M353" s="150">
        <f t="shared" si="301"/>
        <v>290.73</v>
      </c>
      <c r="N353" s="251">
        <v>100</v>
      </c>
      <c r="O353" s="150">
        <f t="shared" si="302"/>
        <v>300</v>
      </c>
      <c r="P353" s="150">
        <f t="shared" si="303"/>
        <v>196.91</v>
      </c>
      <c r="Q353" s="104">
        <f t="shared" si="304"/>
        <v>590.73</v>
      </c>
      <c r="R353" s="203"/>
      <c r="S353" s="203"/>
      <c r="T353" s="203"/>
      <c r="U353" s="203"/>
      <c r="V353" s="203"/>
      <c r="W353" s="203"/>
      <c r="X353" s="203"/>
      <c r="Y353" s="203"/>
      <c r="Z353" s="203"/>
      <c r="AA353" s="203"/>
      <c r="AB353" s="203"/>
      <c r="AC353" s="203"/>
      <c r="AD353" s="203"/>
      <c r="AE353" s="203"/>
      <c r="AF353" s="203"/>
      <c r="AG353" s="203"/>
      <c r="AH353" s="203"/>
      <c r="AI353" s="203"/>
      <c r="AJ353" s="203"/>
    </row>
    <row r="354" spans="1:36" s="32" customFormat="1" ht="31.2">
      <c r="A354" s="131">
        <f>IF(F354&lt;&gt;"",1+MAX($A$2:A353),"")</f>
        <v>250</v>
      </c>
      <c r="B354" s="358"/>
      <c r="C354" s="137"/>
      <c r="D354" s="167" t="s">
        <v>299</v>
      </c>
      <c r="E354" s="134">
        <v>13</v>
      </c>
      <c r="F354" s="176">
        <v>0</v>
      </c>
      <c r="G354" s="177">
        <f t="shared" si="298"/>
        <v>13</v>
      </c>
      <c r="H354" s="164" t="s">
        <v>81</v>
      </c>
      <c r="I354" s="250">
        <v>1.1000000000000001</v>
      </c>
      <c r="J354" s="149">
        <f t="shared" si="299"/>
        <v>14.3</v>
      </c>
      <c r="K354" s="151">
        <f>'LABOR SHEET'!C$5</f>
        <v>96.91</v>
      </c>
      <c r="L354" s="150">
        <f t="shared" si="300"/>
        <v>106.601</v>
      </c>
      <c r="M354" s="150">
        <f t="shared" si="301"/>
        <v>1385.8130000000001</v>
      </c>
      <c r="N354" s="251">
        <v>120</v>
      </c>
      <c r="O354" s="150">
        <f t="shared" si="302"/>
        <v>1560</v>
      </c>
      <c r="P354" s="150">
        <f t="shared" si="303"/>
        <v>226.601</v>
      </c>
      <c r="Q354" s="104">
        <f t="shared" si="304"/>
        <v>2945.8130000000001</v>
      </c>
      <c r="R354" s="203"/>
      <c r="S354" s="203"/>
      <c r="T354" s="203"/>
      <c r="U354" s="203"/>
      <c r="V354" s="203"/>
      <c r="W354" s="203"/>
      <c r="X354" s="203"/>
      <c r="Y354" s="203"/>
      <c r="Z354" s="203"/>
      <c r="AA354" s="203"/>
      <c r="AB354" s="203"/>
      <c r="AC354" s="203"/>
      <c r="AD354" s="203"/>
      <c r="AE354" s="203"/>
      <c r="AF354" s="203"/>
      <c r="AG354" s="203"/>
      <c r="AH354" s="203"/>
      <c r="AI354" s="203"/>
      <c r="AJ354" s="203"/>
    </row>
    <row r="355" spans="1:36" s="32" customFormat="1" ht="31.2">
      <c r="A355" s="131">
        <f>IF(F355&lt;&gt;"",1+MAX($A$2:A354),"")</f>
        <v>251</v>
      </c>
      <c r="B355" s="358"/>
      <c r="C355" s="137"/>
      <c r="D355" s="167" t="s">
        <v>300</v>
      </c>
      <c r="E355" s="134">
        <v>2</v>
      </c>
      <c r="F355" s="176">
        <v>0</v>
      </c>
      <c r="G355" s="177">
        <f t="shared" si="298"/>
        <v>2</v>
      </c>
      <c r="H355" s="164" t="s">
        <v>81</v>
      </c>
      <c r="I355" s="250">
        <v>1.1000000000000001</v>
      </c>
      <c r="J355" s="149">
        <f t="shared" si="299"/>
        <v>2.2000000000000002</v>
      </c>
      <c r="K355" s="151">
        <f>'LABOR SHEET'!C$5</f>
        <v>96.91</v>
      </c>
      <c r="L355" s="150">
        <f t="shared" si="300"/>
        <v>106.601</v>
      </c>
      <c r="M355" s="150">
        <f t="shared" si="301"/>
        <v>213.202</v>
      </c>
      <c r="N355" s="251">
        <v>140</v>
      </c>
      <c r="O355" s="150">
        <f t="shared" si="302"/>
        <v>280</v>
      </c>
      <c r="P355" s="150">
        <f t="shared" si="303"/>
        <v>246.601</v>
      </c>
      <c r="Q355" s="104">
        <f t="shared" si="304"/>
        <v>493.202</v>
      </c>
      <c r="R355" s="203"/>
      <c r="S355" s="203"/>
      <c r="T355" s="203"/>
      <c r="U355" s="203"/>
      <c r="V355" s="203"/>
      <c r="W355" s="203"/>
      <c r="X355" s="203"/>
      <c r="Y355" s="203"/>
      <c r="Z355" s="203"/>
      <c r="AA355" s="203"/>
      <c r="AB355" s="203"/>
      <c r="AC355" s="203"/>
      <c r="AD355" s="203"/>
      <c r="AE355" s="203"/>
      <c r="AF355" s="203"/>
      <c r="AG355" s="203"/>
      <c r="AH355" s="203"/>
      <c r="AI355" s="203"/>
      <c r="AJ355" s="203"/>
    </row>
    <row r="356" spans="1:36" s="32" customFormat="1" ht="31.2">
      <c r="A356" s="131">
        <f>IF(F356&lt;&gt;"",1+MAX($A$2:A355),"")</f>
        <v>252</v>
      </c>
      <c r="B356" s="358"/>
      <c r="C356" s="137"/>
      <c r="D356" s="167" t="s">
        <v>301</v>
      </c>
      <c r="E356" s="134">
        <v>1</v>
      </c>
      <c r="F356" s="176">
        <v>0</v>
      </c>
      <c r="G356" s="177">
        <f t="shared" si="298"/>
        <v>1</v>
      </c>
      <c r="H356" s="164" t="s">
        <v>81</v>
      </c>
      <c r="I356" s="250">
        <v>1.1000000000000001</v>
      </c>
      <c r="J356" s="149">
        <f t="shared" si="299"/>
        <v>1.1000000000000001</v>
      </c>
      <c r="K356" s="151">
        <f>'LABOR SHEET'!C$5</f>
        <v>96.91</v>
      </c>
      <c r="L356" s="150">
        <f t="shared" si="300"/>
        <v>106.601</v>
      </c>
      <c r="M356" s="150">
        <f t="shared" si="301"/>
        <v>106.601</v>
      </c>
      <c r="N356" s="251">
        <v>160</v>
      </c>
      <c r="O356" s="150">
        <f t="shared" si="302"/>
        <v>160</v>
      </c>
      <c r="P356" s="150">
        <f t="shared" si="303"/>
        <v>266.601</v>
      </c>
      <c r="Q356" s="104">
        <f t="shared" si="304"/>
        <v>266.601</v>
      </c>
      <c r="R356" s="203"/>
      <c r="S356" s="203"/>
      <c r="T356" s="203"/>
      <c r="U356" s="203"/>
      <c r="V356" s="203"/>
      <c r="W356" s="203"/>
      <c r="X356" s="203"/>
      <c r="Y356" s="203"/>
      <c r="Z356" s="203"/>
      <c r="AA356" s="203"/>
      <c r="AB356" s="203"/>
      <c r="AC356" s="203"/>
      <c r="AD356" s="203"/>
      <c r="AE356" s="203"/>
      <c r="AF356" s="203"/>
      <c r="AG356" s="203"/>
      <c r="AH356" s="203"/>
      <c r="AI356" s="203"/>
      <c r="AJ356" s="203"/>
    </row>
    <row r="357" spans="1:36" s="32" customFormat="1" ht="31.2">
      <c r="A357" s="131">
        <f>IF(F357&lt;&gt;"",1+MAX($A$2:A356),"")</f>
        <v>253</v>
      </c>
      <c r="B357" s="358"/>
      <c r="C357" s="137"/>
      <c r="D357" s="167" t="s">
        <v>302</v>
      </c>
      <c r="E357" s="134">
        <v>1</v>
      </c>
      <c r="F357" s="176">
        <v>0</v>
      </c>
      <c r="G357" s="177">
        <f t="shared" si="298"/>
        <v>1</v>
      </c>
      <c r="H357" s="164" t="s">
        <v>81</v>
      </c>
      <c r="I357" s="250">
        <v>1.2</v>
      </c>
      <c r="J357" s="149">
        <f t="shared" si="299"/>
        <v>1.2</v>
      </c>
      <c r="K357" s="151">
        <f>'LABOR SHEET'!C$5</f>
        <v>96.91</v>
      </c>
      <c r="L357" s="150">
        <f t="shared" si="300"/>
        <v>116.292</v>
      </c>
      <c r="M357" s="150">
        <f t="shared" si="301"/>
        <v>116.292</v>
      </c>
      <c r="N357" s="251">
        <v>180</v>
      </c>
      <c r="O357" s="150">
        <f t="shared" si="302"/>
        <v>180</v>
      </c>
      <c r="P357" s="150">
        <f t="shared" si="303"/>
        <v>296.29199999999997</v>
      </c>
      <c r="Q357" s="104">
        <f t="shared" si="304"/>
        <v>296.29199999999997</v>
      </c>
      <c r="R357" s="203"/>
      <c r="S357" s="203"/>
      <c r="T357" s="203"/>
      <c r="U357" s="203"/>
      <c r="V357" s="203"/>
      <c r="W357" s="203"/>
      <c r="X357" s="203"/>
      <c r="Y357" s="203"/>
      <c r="Z357" s="203"/>
      <c r="AA357" s="203"/>
      <c r="AB357" s="203"/>
      <c r="AC357" s="203"/>
      <c r="AD357" s="203"/>
      <c r="AE357" s="203"/>
      <c r="AF357" s="203"/>
      <c r="AG357" s="203"/>
      <c r="AH357" s="203"/>
      <c r="AI357" s="203"/>
      <c r="AJ357" s="203"/>
    </row>
    <row r="358" spans="1:36" s="32" customFormat="1" ht="31.2">
      <c r="A358" s="131">
        <f>IF(F358&lt;&gt;"",1+MAX($A$2:A357),"")</f>
        <v>254</v>
      </c>
      <c r="B358" s="358"/>
      <c r="C358" s="137"/>
      <c r="D358" s="167" t="s">
        <v>303</v>
      </c>
      <c r="E358" s="134">
        <v>2</v>
      </c>
      <c r="F358" s="176">
        <v>0</v>
      </c>
      <c r="G358" s="177">
        <f t="shared" si="298"/>
        <v>2</v>
      </c>
      <c r="H358" s="164" t="s">
        <v>81</v>
      </c>
      <c r="I358" s="250">
        <v>1.2</v>
      </c>
      <c r="J358" s="149">
        <f t="shared" si="299"/>
        <v>2.4</v>
      </c>
      <c r="K358" s="151">
        <f>'LABOR SHEET'!C$5</f>
        <v>96.91</v>
      </c>
      <c r="L358" s="150">
        <f t="shared" si="300"/>
        <v>116.292</v>
      </c>
      <c r="M358" s="150">
        <f t="shared" si="301"/>
        <v>232.584</v>
      </c>
      <c r="N358" s="251">
        <v>190</v>
      </c>
      <c r="O358" s="150">
        <f t="shared" si="302"/>
        <v>380</v>
      </c>
      <c r="P358" s="150">
        <f t="shared" si="303"/>
        <v>306.29199999999997</v>
      </c>
      <c r="Q358" s="104">
        <f t="shared" si="304"/>
        <v>612.58399999999995</v>
      </c>
      <c r="R358" s="203"/>
      <c r="S358" s="203"/>
      <c r="T358" s="203"/>
      <c r="U358" s="203"/>
      <c r="V358" s="203"/>
      <c r="W358" s="203"/>
      <c r="X358" s="203"/>
      <c r="Y358" s="203"/>
      <c r="Z358" s="203"/>
      <c r="AA358" s="203"/>
      <c r="AB358" s="203"/>
      <c r="AC358" s="203"/>
      <c r="AD358" s="203"/>
      <c r="AE358" s="203"/>
      <c r="AF358" s="203"/>
      <c r="AG358" s="203"/>
      <c r="AH358" s="203"/>
      <c r="AI358" s="203"/>
      <c r="AJ358" s="203"/>
    </row>
    <row r="359" spans="1:36" s="32" customFormat="1" ht="31.2">
      <c r="A359" s="131">
        <f>IF(F359&lt;&gt;"",1+MAX($A$2:A358),"")</f>
        <v>255</v>
      </c>
      <c r="B359" s="358"/>
      <c r="C359" s="137"/>
      <c r="D359" s="167" t="s">
        <v>304</v>
      </c>
      <c r="E359" s="134">
        <v>12</v>
      </c>
      <c r="F359" s="176">
        <v>0</v>
      </c>
      <c r="G359" s="177">
        <f t="shared" si="298"/>
        <v>12</v>
      </c>
      <c r="H359" s="164" t="s">
        <v>81</v>
      </c>
      <c r="I359" s="250">
        <v>1.2</v>
      </c>
      <c r="J359" s="149">
        <f t="shared" si="299"/>
        <v>14.4</v>
      </c>
      <c r="K359" s="151">
        <f>'LABOR SHEET'!C$5</f>
        <v>96.91</v>
      </c>
      <c r="L359" s="150">
        <f t="shared" si="300"/>
        <v>116.292</v>
      </c>
      <c r="M359" s="150">
        <f t="shared" si="301"/>
        <v>1395.5039999999999</v>
      </c>
      <c r="N359" s="251">
        <v>200</v>
      </c>
      <c r="O359" s="150">
        <f t="shared" si="302"/>
        <v>2400</v>
      </c>
      <c r="P359" s="150">
        <f t="shared" si="303"/>
        <v>316.29199999999997</v>
      </c>
      <c r="Q359" s="104">
        <f t="shared" si="304"/>
        <v>3795.5039999999999</v>
      </c>
      <c r="R359" s="203"/>
      <c r="S359" s="203"/>
      <c r="T359" s="203"/>
      <c r="U359" s="203"/>
      <c r="V359" s="203"/>
      <c r="W359" s="203"/>
      <c r="X359" s="203"/>
      <c r="Y359" s="203"/>
      <c r="Z359" s="203"/>
      <c r="AA359" s="203"/>
      <c r="AB359" s="203"/>
      <c r="AC359" s="203"/>
      <c r="AD359" s="203"/>
      <c r="AE359" s="203"/>
      <c r="AF359" s="203"/>
      <c r="AG359" s="203"/>
      <c r="AH359" s="203"/>
      <c r="AI359" s="203"/>
      <c r="AJ359" s="203"/>
    </row>
    <row r="360" spans="1:36" s="32" customFormat="1" ht="31.2">
      <c r="A360" s="131">
        <f>IF(F360&lt;&gt;"",1+MAX($A$2:A359),"")</f>
        <v>256</v>
      </c>
      <c r="B360" s="358"/>
      <c r="C360" s="137"/>
      <c r="D360" s="167" t="s">
        <v>305</v>
      </c>
      <c r="E360" s="134">
        <v>1</v>
      </c>
      <c r="F360" s="176">
        <v>0</v>
      </c>
      <c r="G360" s="177">
        <f t="shared" si="298"/>
        <v>1</v>
      </c>
      <c r="H360" s="164" t="s">
        <v>81</v>
      </c>
      <c r="I360" s="250">
        <v>1.3</v>
      </c>
      <c r="J360" s="149">
        <f t="shared" si="299"/>
        <v>1.3</v>
      </c>
      <c r="K360" s="151">
        <f>'LABOR SHEET'!C$5</f>
        <v>96.91</v>
      </c>
      <c r="L360" s="150">
        <f t="shared" si="300"/>
        <v>125.983</v>
      </c>
      <c r="M360" s="150">
        <f t="shared" si="301"/>
        <v>125.983</v>
      </c>
      <c r="N360" s="251">
        <v>230</v>
      </c>
      <c r="O360" s="150">
        <f t="shared" si="302"/>
        <v>230</v>
      </c>
      <c r="P360" s="150">
        <f t="shared" si="303"/>
        <v>355.983</v>
      </c>
      <c r="Q360" s="104">
        <f t="shared" si="304"/>
        <v>355.983</v>
      </c>
      <c r="R360" s="203"/>
      <c r="S360" s="203"/>
      <c r="T360" s="203"/>
      <c r="U360" s="203"/>
      <c r="V360" s="203"/>
      <c r="W360" s="203"/>
      <c r="X360" s="203"/>
      <c r="Y360" s="203"/>
      <c r="Z360" s="203"/>
      <c r="AA360" s="203"/>
      <c r="AB360" s="203"/>
      <c r="AC360" s="203"/>
      <c r="AD360" s="203"/>
      <c r="AE360" s="203"/>
      <c r="AF360" s="203"/>
      <c r="AG360" s="203"/>
      <c r="AH360" s="203"/>
      <c r="AI360" s="203"/>
      <c r="AJ360" s="203"/>
    </row>
    <row r="361" spans="1:36" s="32" customFormat="1" ht="31.2">
      <c r="A361" s="131">
        <f>IF(F361&lt;&gt;"",1+MAX($A$2:A360),"")</f>
        <v>257</v>
      </c>
      <c r="B361" s="358"/>
      <c r="C361" s="137"/>
      <c r="D361" s="167" t="s">
        <v>306</v>
      </c>
      <c r="E361" s="134">
        <v>2</v>
      </c>
      <c r="F361" s="176">
        <v>0</v>
      </c>
      <c r="G361" s="177">
        <f t="shared" si="298"/>
        <v>2</v>
      </c>
      <c r="H361" s="164" t="s">
        <v>81</v>
      </c>
      <c r="I361" s="250">
        <v>1.3</v>
      </c>
      <c r="J361" s="149">
        <f t="shared" si="299"/>
        <v>2.6</v>
      </c>
      <c r="K361" s="151">
        <f>'LABOR SHEET'!C$5</f>
        <v>96.91</v>
      </c>
      <c r="L361" s="150">
        <f t="shared" si="300"/>
        <v>125.983</v>
      </c>
      <c r="M361" s="150">
        <f t="shared" si="301"/>
        <v>251.96600000000001</v>
      </c>
      <c r="N361" s="251">
        <v>240</v>
      </c>
      <c r="O361" s="150">
        <f t="shared" si="302"/>
        <v>480</v>
      </c>
      <c r="P361" s="150">
        <f t="shared" si="303"/>
        <v>365.983</v>
      </c>
      <c r="Q361" s="104">
        <f t="shared" si="304"/>
        <v>731.96600000000001</v>
      </c>
      <c r="R361" s="203"/>
      <c r="S361" s="203"/>
      <c r="T361" s="203"/>
      <c r="U361" s="203"/>
      <c r="V361" s="203"/>
      <c r="W361" s="203"/>
      <c r="X361" s="203"/>
      <c r="Y361" s="203"/>
      <c r="Z361" s="203"/>
      <c r="AA361" s="203"/>
      <c r="AB361" s="203"/>
      <c r="AC361" s="203"/>
      <c r="AD361" s="203"/>
      <c r="AE361" s="203"/>
      <c r="AF361" s="203"/>
      <c r="AG361" s="203"/>
      <c r="AH361" s="203"/>
      <c r="AI361" s="203"/>
      <c r="AJ361" s="203"/>
    </row>
    <row r="362" spans="1:36" s="32" customFormat="1" ht="31.2">
      <c r="A362" s="131">
        <f>IF(F362&lt;&gt;"",1+MAX($A$2:A361),"")</f>
        <v>258</v>
      </c>
      <c r="B362" s="358"/>
      <c r="C362" s="137"/>
      <c r="D362" s="167" t="s">
        <v>307</v>
      </c>
      <c r="E362" s="134">
        <v>1</v>
      </c>
      <c r="F362" s="176">
        <v>0</v>
      </c>
      <c r="G362" s="177">
        <f t="shared" si="298"/>
        <v>1</v>
      </c>
      <c r="H362" s="164" t="s">
        <v>81</v>
      </c>
      <c r="I362" s="250">
        <v>1.3</v>
      </c>
      <c r="J362" s="149">
        <f t="shared" si="299"/>
        <v>1.3</v>
      </c>
      <c r="K362" s="151">
        <f>'LABOR SHEET'!C$5</f>
        <v>96.91</v>
      </c>
      <c r="L362" s="150">
        <f t="shared" si="300"/>
        <v>125.983</v>
      </c>
      <c r="M362" s="150">
        <f t="shared" si="301"/>
        <v>125.983</v>
      </c>
      <c r="N362" s="251">
        <v>270</v>
      </c>
      <c r="O362" s="150">
        <f t="shared" si="302"/>
        <v>270</v>
      </c>
      <c r="P362" s="150">
        <f t="shared" si="303"/>
        <v>395.983</v>
      </c>
      <c r="Q362" s="104">
        <f t="shared" si="304"/>
        <v>395.983</v>
      </c>
      <c r="R362" s="203"/>
      <c r="S362" s="203"/>
      <c r="T362" s="203"/>
      <c r="U362" s="203"/>
      <c r="V362" s="203"/>
      <c r="W362" s="203"/>
      <c r="X362" s="203"/>
      <c r="Y362" s="203"/>
      <c r="Z362" s="203"/>
      <c r="AA362" s="203"/>
      <c r="AB362" s="203"/>
      <c r="AC362" s="203"/>
      <c r="AD362" s="203"/>
      <c r="AE362" s="203"/>
      <c r="AF362" s="203"/>
      <c r="AG362" s="203"/>
      <c r="AH362" s="203"/>
      <c r="AI362" s="203"/>
      <c r="AJ362" s="203"/>
    </row>
    <row r="363" spans="1:36" s="32" customFormat="1" ht="31.2">
      <c r="A363" s="131">
        <f>IF(F363&lt;&gt;"",1+MAX($A$2:A362),"")</f>
        <v>259</v>
      </c>
      <c r="B363" s="358"/>
      <c r="C363" s="137"/>
      <c r="D363" s="167" t="s">
        <v>308</v>
      </c>
      <c r="E363" s="134">
        <v>1</v>
      </c>
      <c r="F363" s="176">
        <v>0</v>
      </c>
      <c r="G363" s="177">
        <f t="shared" si="298"/>
        <v>1</v>
      </c>
      <c r="H363" s="164" t="s">
        <v>81</v>
      </c>
      <c r="I363" s="250">
        <v>1.4</v>
      </c>
      <c r="J363" s="149">
        <f t="shared" si="299"/>
        <v>1.4</v>
      </c>
      <c r="K363" s="151">
        <f>'LABOR SHEET'!C$5</f>
        <v>96.91</v>
      </c>
      <c r="L363" s="150">
        <f t="shared" si="300"/>
        <v>135.67400000000001</v>
      </c>
      <c r="M363" s="150">
        <f t="shared" si="301"/>
        <v>135.67400000000001</v>
      </c>
      <c r="N363" s="251">
        <v>280</v>
      </c>
      <c r="O363" s="150">
        <f t="shared" si="302"/>
        <v>280</v>
      </c>
      <c r="P363" s="150">
        <f t="shared" si="303"/>
        <v>415.67399999999998</v>
      </c>
      <c r="Q363" s="104">
        <f t="shared" si="304"/>
        <v>415.67399999999998</v>
      </c>
      <c r="R363" s="203"/>
      <c r="S363" s="203"/>
      <c r="T363" s="203"/>
      <c r="U363" s="203"/>
      <c r="V363" s="203"/>
      <c r="W363" s="203"/>
      <c r="X363" s="203"/>
      <c r="Y363" s="203"/>
      <c r="Z363" s="203"/>
      <c r="AA363" s="203"/>
      <c r="AB363" s="203"/>
      <c r="AC363" s="203"/>
      <c r="AD363" s="203"/>
      <c r="AE363" s="203"/>
      <c r="AF363" s="203"/>
      <c r="AG363" s="203"/>
      <c r="AH363" s="203"/>
      <c r="AI363" s="203"/>
      <c r="AJ363" s="203"/>
    </row>
    <row r="364" spans="1:36" s="32" customFormat="1" ht="31.2">
      <c r="A364" s="131">
        <f>IF(F364&lt;&gt;"",1+MAX($A$2:A363),"")</f>
        <v>260</v>
      </c>
      <c r="B364" s="358"/>
      <c r="C364" s="137"/>
      <c r="D364" s="167" t="s">
        <v>309</v>
      </c>
      <c r="E364" s="134">
        <v>1</v>
      </c>
      <c r="F364" s="176">
        <v>0</v>
      </c>
      <c r="G364" s="177">
        <f t="shared" si="298"/>
        <v>1</v>
      </c>
      <c r="H364" s="164" t="s">
        <v>81</v>
      </c>
      <c r="I364" s="250">
        <v>1</v>
      </c>
      <c r="J364" s="149">
        <f t="shared" si="299"/>
        <v>1</v>
      </c>
      <c r="K364" s="151">
        <f>'LABOR SHEET'!C$5</f>
        <v>96.91</v>
      </c>
      <c r="L364" s="150">
        <f t="shared" si="300"/>
        <v>96.91</v>
      </c>
      <c r="M364" s="150">
        <f t="shared" si="301"/>
        <v>96.91</v>
      </c>
      <c r="N364" s="251">
        <v>80</v>
      </c>
      <c r="O364" s="150">
        <f t="shared" si="302"/>
        <v>80</v>
      </c>
      <c r="P364" s="150">
        <f t="shared" si="303"/>
        <v>176.91</v>
      </c>
      <c r="Q364" s="104">
        <f t="shared" si="304"/>
        <v>176.91</v>
      </c>
      <c r="R364" s="203"/>
      <c r="S364" s="203"/>
      <c r="T364" s="203"/>
      <c r="U364" s="203"/>
      <c r="V364" s="203"/>
      <c r="W364" s="203"/>
      <c r="X364" s="203"/>
      <c r="Y364" s="203"/>
      <c r="Z364" s="203"/>
      <c r="AA364" s="203"/>
      <c r="AB364" s="203"/>
      <c r="AC364" s="203"/>
      <c r="AD364" s="203"/>
      <c r="AE364" s="203"/>
      <c r="AF364" s="203"/>
      <c r="AG364" s="203"/>
      <c r="AH364" s="203"/>
      <c r="AI364" s="203"/>
      <c r="AJ364" s="203"/>
    </row>
    <row r="365" spans="1:36" s="32" customFormat="1" ht="31.2">
      <c r="A365" s="131">
        <f>IF(F365&lt;&gt;"",1+MAX($A$2:A364),"")</f>
        <v>261</v>
      </c>
      <c r="B365" s="358"/>
      <c r="C365" s="137"/>
      <c r="D365" s="167" t="s">
        <v>310</v>
      </c>
      <c r="E365" s="134">
        <v>1</v>
      </c>
      <c r="F365" s="176">
        <v>0</v>
      </c>
      <c r="G365" s="177">
        <f t="shared" si="298"/>
        <v>1</v>
      </c>
      <c r="H365" s="164" t="s">
        <v>81</v>
      </c>
      <c r="I365" s="250">
        <v>1</v>
      </c>
      <c r="J365" s="149">
        <f t="shared" si="299"/>
        <v>1</v>
      </c>
      <c r="K365" s="151">
        <f>'LABOR SHEET'!C$5</f>
        <v>96.91</v>
      </c>
      <c r="L365" s="150">
        <f t="shared" si="300"/>
        <v>96.91</v>
      </c>
      <c r="M365" s="150">
        <f t="shared" si="301"/>
        <v>96.91</v>
      </c>
      <c r="N365" s="251">
        <v>80</v>
      </c>
      <c r="O365" s="150">
        <f t="shared" si="302"/>
        <v>80</v>
      </c>
      <c r="P365" s="150">
        <f t="shared" si="303"/>
        <v>176.91</v>
      </c>
      <c r="Q365" s="104">
        <f t="shared" si="304"/>
        <v>176.91</v>
      </c>
      <c r="R365" s="203"/>
      <c r="S365" s="203"/>
      <c r="T365" s="203"/>
      <c r="U365" s="203"/>
      <c r="V365" s="203"/>
      <c r="W365" s="203"/>
      <c r="X365" s="203"/>
      <c r="Y365" s="203"/>
      <c r="Z365" s="203"/>
      <c r="AA365" s="203"/>
      <c r="AB365" s="203"/>
      <c r="AC365" s="203"/>
      <c r="AD365" s="203"/>
      <c r="AE365" s="203"/>
      <c r="AF365" s="203"/>
      <c r="AG365" s="203"/>
      <c r="AH365" s="203"/>
      <c r="AI365" s="203"/>
      <c r="AJ365" s="203"/>
    </row>
    <row r="366" spans="1:36" s="32" customFormat="1" ht="31.2">
      <c r="A366" s="131">
        <f>IF(F366&lt;&gt;"",1+MAX($A$2:A365),"")</f>
        <v>262</v>
      </c>
      <c r="B366" s="358"/>
      <c r="C366" s="137"/>
      <c r="D366" s="167" t="s">
        <v>311</v>
      </c>
      <c r="E366" s="134">
        <v>1</v>
      </c>
      <c r="F366" s="176">
        <v>0</v>
      </c>
      <c r="G366" s="177">
        <f t="shared" si="298"/>
        <v>1</v>
      </c>
      <c r="H366" s="164" t="s">
        <v>81</v>
      </c>
      <c r="I366" s="250">
        <v>1</v>
      </c>
      <c r="J366" s="149">
        <f t="shared" si="299"/>
        <v>1</v>
      </c>
      <c r="K366" s="151">
        <f>'LABOR SHEET'!C$5</f>
        <v>96.91</v>
      </c>
      <c r="L366" s="150">
        <f t="shared" si="300"/>
        <v>96.91</v>
      </c>
      <c r="M366" s="150">
        <f t="shared" si="301"/>
        <v>96.91</v>
      </c>
      <c r="N366" s="251">
        <v>90</v>
      </c>
      <c r="O366" s="150">
        <f t="shared" si="302"/>
        <v>90</v>
      </c>
      <c r="P366" s="150">
        <f t="shared" si="303"/>
        <v>186.91</v>
      </c>
      <c r="Q366" s="104">
        <f t="shared" si="304"/>
        <v>186.91</v>
      </c>
      <c r="R366" s="203"/>
      <c r="S366" s="203"/>
      <c r="T366" s="203"/>
      <c r="U366" s="203"/>
      <c r="V366" s="203"/>
      <c r="W366" s="203"/>
      <c r="X366" s="203"/>
      <c r="Y366" s="203"/>
      <c r="Z366" s="203"/>
      <c r="AA366" s="203"/>
      <c r="AB366" s="203"/>
      <c r="AC366" s="203"/>
      <c r="AD366" s="203"/>
      <c r="AE366" s="203"/>
      <c r="AF366" s="203"/>
      <c r="AG366" s="203"/>
      <c r="AH366" s="203"/>
      <c r="AI366" s="203"/>
      <c r="AJ366" s="203"/>
    </row>
    <row r="367" spans="1:36" s="32" customFormat="1" ht="31.2">
      <c r="A367" s="131">
        <f>IF(F367&lt;&gt;"",1+MAX($A$2:A366),"")</f>
        <v>263</v>
      </c>
      <c r="B367" s="358"/>
      <c r="C367" s="137"/>
      <c r="D367" s="167" t="s">
        <v>312</v>
      </c>
      <c r="E367" s="134">
        <v>2</v>
      </c>
      <c r="F367" s="176">
        <v>0</v>
      </c>
      <c r="G367" s="177">
        <f t="shared" si="298"/>
        <v>2</v>
      </c>
      <c r="H367" s="164" t="s">
        <v>81</v>
      </c>
      <c r="I367" s="250">
        <v>1</v>
      </c>
      <c r="J367" s="149">
        <f t="shared" si="299"/>
        <v>2</v>
      </c>
      <c r="K367" s="151">
        <f>'LABOR SHEET'!C$5</f>
        <v>96.91</v>
      </c>
      <c r="L367" s="150">
        <f t="shared" si="300"/>
        <v>96.91</v>
      </c>
      <c r="M367" s="150">
        <f t="shared" si="301"/>
        <v>193.82</v>
      </c>
      <c r="N367" s="251">
        <v>100</v>
      </c>
      <c r="O367" s="150">
        <f t="shared" si="302"/>
        <v>200</v>
      </c>
      <c r="P367" s="150">
        <f t="shared" si="303"/>
        <v>196.91</v>
      </c>
      <c r="Q367" s="104">
        <f t="shared" si="304"/>
        <v>393.82</v>
      </c>
      <c r="R367" s="203"/>
      <c r="S367" s="203"/>
      <c r="T367" s="203"/>
      <c r="U367" s="203"/>
      <c r="V367" s="203"/>
      <c r="W367" s="203"/>
      <c r="X367" s="203"/>
      <c r="Y367" s="203"/>
      <c r="Z367" s="203"/>
      <c r="AA367" s="203"/>
      <c r="AB367" s="203"/>
      <c r="AC367" s="203"/>
      <c r="AD367" s="203"/>
      <c r="AE367" s="203"/>
      <c r="AF367" s="203"/>
      <c r="AG367" s="203"/>
      <c r="AH367" s="203"/>
      <c r="AI367" s="203"/>
      <c r="AJ367" s="203"/>
    </row>
    <row r="368" spans="1:36" s="32" customFormat="1" ht="31.2">
      <c r="A368" s="131">
        <f>IF(F368&lt;&gt;"",1+MAX($A$2:A367),"")</f>
        <v>264</v>
      </c>
      <c r="B368" s="358"/>
      <c r="C368" s="137"/>
      <c r="D368" s="167" t="s">
        <v>313</v>
      </c>
      <c r="E368" s="134">
        <v>4</v>
      </c>
      <c r="F368" s="176">
        <v>0</v>
      </c>
      <c r="G368" s="177">
        <f t="shared" si="298"/>
        <v>4</v>
      </c>
      <c r="H368" s="164" t="s">
        <v>81</v>
      </c>
      <c r="I368" s="250">
        <v>1</v>
      </c>
      <c r="J368" s="149">
        <f t="shared" si="299"/>
        <v>4</v>
      </c>
      <c r="K368" s="151">
        <f>'LABOR SHEET'!C$5</f>
        <v>96.91</v>
      </c>
      <c r="L368" s="150">
        <f t="shared" si="300"/>
        <v>96.91</v>
      </c>
      <c r="M368" s="150">
        <f t="shared" si="301"/>
        <v>387.64</v>
      </c>
      <c r="N368" s="251">
        <v>100</v>
      </c>
      <c r="O368" s="150">
        <f t="shared" si="302"/>
        <v>400</v>
      </c>
      <c r="P368" s="150">
        <f t="shared" si="303"/>
        <v>196.91</v>
      </c>
      <c r="Q368" s="104">
        <f t="shared" si="304"/>
        <v>787.64</v>
      </c>
      <c r="R368" s="203"/>
      <c r="S368" s="203"/>
      <c r="T368" s="203"/>
      <c r="U368" s="203"/>
      <c r="V368" s="203"/>
      <c r="W368" s="203"/>
      <c r="X368" s="203"/>
      <c r="Y368" s="203"/>
      <c r="Z368" s="203"/>
      <c r="AA368" s="203"/>
      <c r="AB368" s="203"/>
      <c r="AC368" s="203"/>
      <c r="AD368" s="203"/>
      <c r="AE368" s="203"/>
      <c r="AF368" s="203"/>
      <c r="AG368" s="203"/>
      <c r="AH368" s="203"/>
      <c r="AI368" s="203"/>
      <c r="AJ368" s="203"/>
    </row>
    <row r="369" spans="1:36" s="32" customFormat="1" ht="31.2">
      <c r="A369" s="131">
        <f>IF(F369&lt;&gt;"",1+MAX($A$2:A368),"")</f>
        <v>265</v>
      </c>
      <c r="B369" s="358"/>
      <c r="C369" s="137"/>
      <c r="D369" s="167" t="s">
        <v>314</v>
      </c>
      <c r="E369" s="134">
        <v>2</v>
      </c>
      <c r="F369" s="176">
        <v>0</v>
      </c>
      <c r="G369" s="177">
        <f t="shared" si="298"/>
        <v>2</v>
      </c>
      <c r="H369" s="164" t="s">
        <v>81</v>
      </c>
      <c r="I369" s="250">
        <v>1.1000000000000001</v>
      </c>
      <c r="J369" s="149">
        <f t="shared" si="299"/>
        <v>2.2000000000000002</v>
      </c>
      <c r="K369" s="151">
        <f>'LABOR SHEET'!C$5</f>
        <v>96.91</v>
      </c>
      <c r="L369" s="150">
        <f t="shared" si="300"/>
        <v>106.601</v>
      </c>
      <c r="M369" s="150">
        <f t="shared" si="301"/>
        <v>213.202</v>
      </c>
      <c r="N369" s="251">
        <v>110</v>
      </c>
      <c r="O369" s="150">
        <f t="shared" si="302"/>
        <v>220</v>
      </c>
      <c r="P369" s="150">
        <f t="shared" si="303"/>
        <v>216.601</v>
      </c>
      <c r="Q369" s="104">
        <f t="shared" si="304"/>
        <v>433.202</v>
      </c>
      <c r="R369" s="203"/>
      <c r="S369" s="203"/>
      <c r="T369" s="203"/>
      <c r="U369" s="203"/>
      <c r="V369" s="203"/>
      <c r="W369" s="203"/>
      <c r="X369" s="203"/>
      <c r="Y369" s="203"/>
      <c r="Z369" s="203"/>
      <c r="AA369" s="203"/>
      <c r="AB369" s="203"/>
      <c r="AC369" s="203"/>
      <c r="AD369" s="203"/>
      <c r="AE369" s="203"/>
      <c r="AF369" s="203"/>
      <c r="AG369" s="203"/>
      <c r="AH369" s="203"/>
      <c r="AI369" s="203"/>
      <c r="AJ369" s="203"/>
    </row>
    <row r="370" spans="1:36" s="32" customFormat="1" ht="31.2">
      <c r="A370" s="131">
        <f>IF(F370&lt;&gt;"",1+MAX($A$2:A369),"")</f>
        <v>266</v>
      </c>
      <c r="B370" s="358"/>
      <c r="C370" s="137"/>
      <c r="D370" s="167" t="s">
        <v>315</v>
      </c>
      <c r="E370" s="134">
        <v>1</v>
      </c>
      <c r="F370" s="176">
        <v>0</v>
      </c>
      <c r="G370" s="177">
        <f t="shared" si="298"/>
        <v>1</v>
      </c>
      <c r="H370" s="164" t="s">
        <v>81</v>
      </c>
      <c r="I370" s="250">
        <v>1.1000000000000001</v>
      </c>
      <c r="J370" s="149">
        <f t="shared" si="299"/>
        <v>1.1000000000000001</v>
      </c>
      <c r="K370" s="151">
        <f>'LABOR SHEET'!C$5</f>
        <v>96.91</v>
      </c>
      <c r="L370" s="150">
        <f t="shared" si="300"/>
        <v>106.601</v>
      </c>
      <c r="M370" s="150">
        <f t="shared" si="301"/>
        <v>106.601</v>
      </c>
      <c r="N370" s="251">
        <v>120</v>
      </c>
      <c r="O370" s="150">
        <f t="shared" si="302"/>
        <v>120</v>
      </c>
      <c r="P370" s="150">
        <f t="shared" si="303"/>
        <v>226.601</v>
      </c>
      <c r="Q370" s="104">
        <f t="shared" si="304"/>
        <v>226.601</v>
      </c>
      <c r="R370" s="203"/>
      <c r="S370" s="203"/>
      <c r="T370" s="203"/>
      <c r="U370" s="203"/>
      <c r="V370" s="203"/>
      <c r="W370" s="203"/>
      <c r="X370" s="203"/>
      <c r="Y370" s="203"/>
      <c r="Z370" s="203"/>
      <c r="AA370" s="203"/>
      <c r="AB370" s="203"/>
      <c r="AC370" s="203"/>
      <c r="AD370" s="203"/>
      <c r="AE370" s="203"/>
      <c r="AF370" s="203"/>
      <c r="AG370" s="203"/>
      <c r="AH370" s="203"/>
      <c r="AI370" s="203"/>
      <c r="AJ370" s="203"/>
    </row>
    <row r="371" spans="1:36" s="32" customFormat="1" ht="31.2">
      <c r="A371" s="131">
        <f>IF(F371&lt;&gt;"",1+MAX($A$2:A370),"")</f>
        <v>267</v>
      </c>
      <c r="B371" s="358"/>
      <c r="C371" s="137"/>
      <c r="D371" s="167" t="s">
        <v>316</v>
      </c>
      <c r="E371" s="134">
        <v>2</v>
      </c>
      <c r="F371" s="176">
        <v>0</v>
      </c>
      <c r="G371" s="177">
        <f t="shared" si="298"/>
        <v>2</v>
      </c>
      <c r="H371" s="164" t="s">
        <v>81</v>
      </c>
      <c r="I371" s="250">
        <v>1.1000000000000001</v>
      </c>
      <c r="J371" s="149">
        <f t="shared" si="299"/>
        <v>2.2000000000000002</v>
      </c>
      <c r="K371" s="151">
        <f>'LABOR SHEET'!C$5</f>
        <v>96.91</v>
      </c>
      <c r="L371" s="150">
        <f t="shared" si="300"/>
        <v>106.601</v>
      </c>
      <c r="M371" s="150">
        <f t="shared" si="301"/>
        <v>213.202</v>
      </c>
      <c r="N371" s="251">
        <v>140</v>
      </c>
      <c r="O371" s="150">
        <f t="shared" si="302"/>
        <v>280</v>
      </c>
      <c r="P371" s="150">
        <f t="shared" si="303"/>
        <v>246.601</v>
      </c>
      <c r="Q371" s="104">
        <f t="shared" si="304"/>
        <v>493.202</v>
      </c>
      <c r="R371" s="203"/>
      <c r="S371" s="203"/>
      <c r="T371" s="203"/>
      <c r="U371" s="203"/>
      <c r="V371" s="203"/>
      <c r="W371" s="203"/>
      <c r="X371" s="203"/>
      <c r="Y371" s="203"/>
      <c r="Z371" s="203"/>
      <c r="AA371" s="203"/>
      <c r="AB371" s="203"/>
      <c r="AC371" s="203"/>
      <c r="AD371" s="203"/>
      <c r="AE371" s="203"/>
      <c r="AF371" s="203"/>
      <c r="AG371" s="203"/>
      <c r="AH371" s="203"/>
      <c r="AI371" s="203"/>
      <c r="AJ371" s="203"/>
    </row>
    <row r="372" spans="1:36" s="32" customFormat="1" ht="31.2">
      <c r="A372" s="131">
        <f>IF(F372&lt;&gt;"",1+MAX($A$2:A371),"")</f>
        <v>268</v>
      </c>
      <c r="B372" s="358"/>
      <c r="C372" s="137"/>
      <c r="D372" s="167" t="s">
        <v>317</v>
      </c>
      <c r="E372" s="134">
        <v>1</v>
      </c>
      <c r="F372" s="176">
        <v>0</v>
      </c>
      <c r="G372" s="177">
        <f t="shared" ref="G372:G384" si="305">E372*(1+F372)</f>
        <v>1</v>
      </c>
      <c r="H372" s="164" t="s">
        <v>81</v>
      </c>
      <c r="I372" s="250">
        <v>1.1000000000000001</v>
      </c>
      <c r="J372" s="149">
        <f t="shared" si="299"/>
        <v>1.1000000000000001</v>
      </c>
      <c r="K372" s="151">
        <f>'LABOR SHEET'!C$5</f>
        <v>96.91</v>
      </c>
      <c r="L372" s="150">
        <f t="shared" si="300"/>
        <v>106.601</v>
      </c>
      <c r="M372" s="150">
        <f t="shared" si="301"/>
        <v>106.601</v>
      </c>
      <c r="N372" s="251">
        <v>160</v>
      </c>
      <c r="O372" s="150">
        <f t="shared" si="302"/>
        <v>160</v>
      </c>
      <c r="P372" s="150">
        <f t="shared" si="303"/>
        <v>266.601</v>
      </c>
      <c r="Q372" s="104">
        <f t="shared" si="304"/>
        <v>266.601</v>
      </c>
      <c r="R372" s="203"/>
      <c r="S372" s="203"/>
      <c r="T372" s="203"/>
      <c r="U372" s="203"/>
      <c r="V372" s="203"/>
      <c r="W372" s="203"/>
      <c r="X372" s="203"/>
      <c r="Y372" s="203"/>
      <c r="Z372" s="203"/>
      <c r="AA372" s="203"/>
      <c r="AB372" s="203"/>
      <c r="AC372" s="203"/>
      <c r="AD372" s="203"/>
      <c r="AE372" s="203"/>
      <c r="AF372" s="203"/>
      <c r="AG372" s="203"/>
      <c r="AH372" s="203"/>
      <c r="AI372" s="203"/>
      <c r="AJ372" s="203"/>
    </row>
    <row r="373" spans="1:36" s="32" customFormat="1" ht="31.2">
      <c r="A373" s="131">
        <f>IF(F373&lt;&gt;"",1+MAX($A$2:A372),"")</f>
        <v>269</v>
      </c>
      <c r="B373" s="358"/>
      <c r="C373" s="137"/>
      <c r="D373" s="167" t="s">
        <v>318</v>
      </c>
      <c r="E373" s="134">
        <v>2</v>
      </c>
      <c r="F373" s="176">
        <v>0</v>
      </c>
      <c r="G373" s="177">
        <f t="shared" si="305"/>
        <v>2</v>
      </c>
      <c r="H373" s="164" t="s">
        <v>81</v>
      </c>
      <c r="I373" s="250">
        <v>1.2</v>
      </c>
      <c r="J373" s="149">
        <f t="shared" si="299"/>
        <v>2.4</v>
      </c>
      <c r="K373" s="151">
        <f>'LABOR SHEET'!C$5</f>
        <v>96.91</v>
      </c>
      <c r="L373" s="150">
        <f t="shared" si="300"/>
        <v>116.292</v>
      </c>
      <c r="M373" s="150">
        <f t="shared" si="301"/>
        <v>232.584</v>
      </c>
      <c r="N373" s="251">
        <v>170</v>
      </c>
      <c r="O373" s="150">
        <f t="shared" si="302"/>
        <v>340</v>
      </c>
      <c r="P373" s="150">
        <f t="shared" si="303"/>
        <v>286.29199999999997</v>
      </c>
      <c r="Q373" s="104">
        <f t="shared" si="304"/>
        <v>572.58399999999995</v>
      </c>
      <c r="R373" s="203"/>
      <c r="S373" s="203"/>
      <c r="T373" s="203"/>
      <c r="U373" s="203"/>
      <c r="V373" s="203"/>
      <c r="W373" s="203"/>
      <c r="X373" s="203"/>
      <c r="Y373" s="203"/>
      <c r="Z373" s="203"/>
      <c r="AA373" s="203"/>
      <c r="AB373" s="203"/>
      <c r="AC373" s="203"/>
      <c r="AD373" s="203"/>
      <c r="AE373" s="203"/>
      <c r="AF373" s="203"/>
      <c r="AG373" s="203"/>
      <c r="AH373" s="203"/>
      <c r="AI373" s="203"/>
      <c r="AJ373" s="203"/>
    </row>
    <row r="374" spans="1:36" s="32" customFormat="1" ht="31.2">
      <c r="A374" s="131">
        <f>IF(F374&lt;&gt;"",1+MAX($A$2:A373),"")</f>
        <v>270</v>
      </c>
      <c r="B374" s="358"/>
      <c r="C374" s="137"/>
      <c r="D374" s="167" t="s">
        <v>319</v>
      </c>
      <c r="E374" s="134">
        <v>1</v>
      </c>
      <c r="F374" s="176">
        <v>0</v>
      </c>
      <c r="G374" s="177">
        <f t="shared" si="305"/>
        <v>1</v>
      </c>
      <c r="H374" s="164" t="s">
        <v>81</v>
      </c>
      <c r="I374" s="250">
        <v>1.2</v>
      </c>
      <c r="J374" s="149">
        <f t="shared" si="299"/>
        <v>1.2</v>
      </c>
      <c r="K374" s="151">
        <f>'LABOR SHEET'!C$5</f>
        <v>96.91</v>
      </c>
      <c r="L374" s="150">
        <f t="shared" si="300"/>
        <v>116.292</v>
      </c>
      <c r="M374" s="150">
        <f t="shared" si="301"/>
        <v>116.292</v>
      </c>
      <c r="N374" s="251">
        <v>180</v>
      </c>
      <c r="O374" s="150">
        <f t="shared" si="302"/>
        <v>180</v>
      </c>
      <c r="P374" s="150">
        <f t="shared" si="303"/>
        <v>296.29199999999997</v>
      </c>
      <c r="Q374" s="104">
        <f t="shared" si="304"/>
        <v>296.29199999999997</v>
      </c>
      <c r="R374" s="203"/>
      <c r="S374" s="203"/>
      <c r="T374" s="203"/>
      <c r="U374" s="203"/>
      <c r="V374" s="203"/>
      <c r="W374" s="203"/>
      <c r="X374" s="203"/>
      <c r="Y374" s="203"/>
      <c r="Z374" s="203"/>
      <c r="AA374" s="203"/>
      <c r="AB374" s="203"/>
      <c r="AC374" s="203"/>
      <c r="AD374" s="203"/>
      <c r="AE374" s="203"/>
      <c r="AF374" s="203"/>
      <c r="AG374" s="203"/>
      <c r="AH374" s="203"/>
      <c r="AI374" s="203"/>
      <c r="AJ374" s="203"/>
    </row>
    <row r="375" spans="1:36" s="32" customFormat="1" ht="31.2">
      <c r="A375" s="131">
        <f>IF(F375&lt;&gt;"",1+MAX($A$2:A374),"")</f>
        <v>271</v>
      </c>
      <c r="B375" s="358"/>
      <c r="C375" s="137"/>
      <c r="D375" s="167" t="s">
        <v>320</v>
      </c>
      <c r="E375" s="134">
        <v>2</v>
      </c>
      <c r="F375" s="176">
        <v>0</v>
      </c>
      <c r="G375" s="177">
        <f t="shared" si="305"/>
        <v>2</v>
      </c>
      <c r="H375" s="164" t="s">
        <v>81</v>
      </c>
      <c r="I375" s="250">
        <v>1.3</v>
      </c>
      <c r="J375" s="149">
        <f t="shared" si="299"/>
        <v>2.6</v>
      </c>
      <c r="K375" s="151">
        <f>'LABOR SHEET'!C$5</f>
        <v>96.91</v>
      </c>
      <c r="L375" s="150">
        <f t="shared" si="300"/>
        <v>125.983</v>
      </c>
      <c r="M375" s="150">
        <f t="shared" si="301"/>
        <v>251.96600000000001</v>
      </c>
      <c r="N375" s="251">
        <v>230</v>
      </c>
      <c r="O375" s="150">
        <f t="shared" si="302"/>
        <v>460</v>
      </c>
      <c r="P375" s="150">
        <f t="shared" si="303"/>
        <v>355.983</v>
      </c>
      <c r="Q375" s="104">
        <f t="shared" si="304"/>
        <v>711.96600000000001</v>
      </c>
      <c r="R375" s="203"/>
      <c r="S375" s="203"/>
      <c r="T375" s="203"/>
      <c r="U375" s="203"/>
      <c r="V375" s="203"/>
      <c r="W375" s="203"/>
      <c r="X375" s="203"/>
      <c r="Y375" s="203"/>
      <c r="Z375" s="203"/>
      <c r="AA375" s="203"/>
      <c r="AB375" s="203"/>
      <c r="AC375" s="203"/>
      <c r="AD375" s="203"/>
      <c r="AE375" s="203"/>
      <c r="AF375" s="203"/>
      <c r="AG375" s="203"/>
      <c r="AH375" s="203"/>
      <c r="AI375" s="203"/>
      <c r="AJ375" s="203"/>
    </row>
    <row r="376" spans="1:36" s="32" customFormat="1" ht="31.2">
      <c r="A376" s="131">
        <f>IF(F376&lt;&gt;"",1+MAX($A$2:A375),"")</f>
        <v>272</v>
      </c>
      <c r="B376" s="358"/>
      <c r="C376" s="137"/>
      <c r="D376" s="167" t="s">
        <v>321</v>
      </c>
      <c r="E376" s="134">
        <v>1</v>
      </c>
      <c r="F376" s="176">
        <v>0</v>
      </c>
      <c r="G376" s="177">
        <f t="shared" si="305"/>
        <v>1</v>
      </c>
      <c r="H376" s="164" t="s">
        <v>81</v>
      </c>
      <c r="I376" s="250">
        <v>1.3</v>
      </c>
      <c r="J376" s="149">
        <f t="shared" si="299"/>
        <v>1.3</v>
      </c>
      <c r="K376" s="151">
        <f>'LABOR SHEET'!C$5</f>
        <v>96.91</v>
      </c>
      <c r="L376" s="150">
        <f t="shared" si="300"/>
        <v>125.983</v>
      </c>
      <c r="M376" s="150">
        <f t="shared" si="301"/>
        <v>125.983</v>
      </c>
      <c r="N376" s="251">
        <v>260</v>
      </c>
      <c r="O376" s="150">
        <f t="shared" si="302"/>
        <v>260</v>
      </c>
      <c r="P376" s="150">
        <f t="shared" si="303"/>
        <v>385.983</v>
      </c>
      <c r="Q376" s="104">
        <f t="shared" si="304"/>
        <v>385.983</v>
      </c>
      <c r="R376" s="203"/>
      <c r="S376" s="203"/>
      <c r="T376" s="203"/>
      <c r="U376" s="203"/>
      <c r="V376" s="203"/>
      <c r="W376" s="203"/>
      <c r="X376" s="203"/>
      <c r="Y376" s="203"/>
      <c r="Z376" s="203"/>
      <c r="AA376" s="203"/>
      <c r="AB376" s="203"/>
      <c r="AC376" s="203"/>
      <c r="AD376" s="203"/>
      <c r="AE376" s="203"/>
      <c r="AF376" s="203"/>
      <c r="AG376" s="203"/>
      <c r="AH376" s="203"/>
      <c r="AI376" s="203"/>
      <c r="AJ376" s="203"/>
    </row>
    <row r="377" spans="1:36" s="32" customFormat="1" ht="31.2">
      <c r="A377" s="131">
        <f>IF(F377&lt;&gt;"",1+MAX($A$2:A376),"")</f>
        <v>273</v>
      </c>
      <c r="B377" s="358"/>
      <c r="C377" s="137"/>
      <c r="D377" s="167" t="s">
        <v>322</v>
      </c>
      <c r="E377" s="134">
        <v>1</v>
      </c>
      <c r="F377" s="176">
        <v>0</v>
      </c>
      <c r="G377" s="177">
        <f t="shared" si="305"/>
        <v>1</v>
      </c>
      <c r="H377" s="164" t="s">
        <v>81</v>
      </c>
      <c r="I377" s="250">
        <v>1.4</v>
      </c>
      <c r="J377" s="149">
        <f t="shared" si="299"/>
        <v>1.4</v>
      </c>
      <c r="K377" s="151">
        <f>'LABOR SHEET'!C$5</f>
        <v>96.91</v>
      </c>
      <c r="L377" s="150">
        <f t="shared" si="300"/>
        <v>135.67400000000001</v>
      </c>
      <c r="M377" s="150">
        <f t="shared" si="301"/>
        <v>135.67400000000001</v>
      </c>
      <c r="N377" s="251">
        <v>300</v>
      </c>
      <c r="O377" s="150">
        <f t="shared" si="302"/>
        <v>300</v>
      </c>
      <c r="P377" s="150">
        <f t="shared" si="303"/>
        <v>435.67399999999998</v>
      </c>
      <c r="Q377" s="104">
        <f t="shared" si="304"/>
        <v>435.67399999999998</v>
      </c>
      <c r="R377" s="203"/>
      <c r="S377" s="203"/>
      <c r="T377" s="203"/>
      <c r="U377" s="203"/>
      <c r="V377" s="203"/>
      <c r="W377" s="203"/>
      <c r="X377" s="203"/>
      <c r="Y377" s="203"/>
      <c r="Z377" s="203"/>
      <c r="AA377" s="203"/>
      <c r="AB377" s="203"/>
      <c r="AC377" s="203"/>
      <c r="AD377" s="203"/>
      <c r="AE377" s="203"/>
      <c r="AF377" s="203"/>
      <c r="AG377" s="203"/>
      <c r="AH377" s="203"/>
      <c r="AI377" s="203"/>
      <c r="AJ377" s="203"/>
    </row>
    <row r="378" spans="1:36" s="32" customFormat="1" ht="31.2">
      <c r="A378" s="131">
        <f>IF(F378&lt;&gt;"",1+MAX($A$2:A377),"")</f>
        <v>274</v>
      </c>
      <c r="B378" s="358"/>
      <c r="C378" s="137"/>
      <c r="D378" s="167" t="s">
        <v>323</v>
      </c>
      <c r="E378" s="134">
        <v>3</v>
      </c>
      <c r="F378" s="176">
        <v>0</v>
      </c>
      <c r="G378" s="177">
        <f t="shared" si="305"/>
        <v>3</v>
      </c>
      <c r="H378" s="164" t="s">
        <v>81</v>
      </c>
      <c r="I378" s="250">
        <v>1.4</v>
      </c>
      <c r="J378" s="149">
        <f t="shared" si="299"/>
        <v>4.2</v>
      </c>
      <c r="K378" s="151">
        <f>'LABOR SHEET'!C$5</f>
        <v>96.91</v>
      </c>
      <c r="L378" s="150">
        <f t="shared" si="300"/>
        <v>135.67400000000001</v>
      </c>
      <c r="M378" s="150">
        <f t="shared" si="301"/>
        <v>407.02199999999999</v>
      </c>
      <c r="N378" s="251">
        <v>310</v>
      </c>
      <c r="O378" s="150">
        <f t="shared" si="302"/>
        <v>930</v>
      </c>
      <c r="P378" s="150">
        <f t="shared" si="303"/>
        <v>445.67399999999998</v>
      </c>
      <c r="Q378" s="104">
        <f t="shared" si="304"/>
        <v>1337.0219999999999</v>
      </c>
      <c r="R378" s="203"/>
      <c r="S378" s="203"/>
      <c r="T378" s="203"/>
      <c r="U378" s="203"/>
      <c r="V378" s="203"/>
      <c r="W378" s="203"/>
      <c r="X378" s="203"/>
      <c r="Y378" s="203"/>
      <c r="Z378" s="203"/>
      <c r="AA378" s="203"/>
      <c r="AB378" s="203"/>
      <c r="AC378" s="203"/>
      <c r="AD378" s="203"/>
      <c r="AE378" s="203"/>
      <c r="AF378" s="203"/>
      <c r="AG378" s="203"/>
      <c r="AH378" s="203"/>
      <c r="AI378" s="203"/>
      <c r="AJ378" s="203"/>
    </row>
    <row r="379" spans="1:36" s="32" customFormat="1" ht="31.2">
      <c r="A379" s="131">
        <f>IF(F379&lt;&gt;"",1+MAX($A$2:A378),"")</f>
        <v>275</v>
      </c>
      <c r="B379" s="358"/>
      <c r="C379" s="137"/>
      <c r="D379" s="167" t="s">
        <v>324</v>
      </c>
      <c r="E379" s="134">
        <v>1</v>
      </c>
      <c r="F379" s="176">
        <v>0</v>
      </c>
      <c r="G379" s="177">
        <f t="shared" si="305"/>
        <v>1</v>
      </c>
      <c r="H379" s="164" t="s">
        <v>81</v>
      </c>
      <c r="I379" s="250">
        <v>1.4</v>
      </c>
      <c r="J379" s="149">
        <f t="shared" si="299"/>
        <v>1.4</v>
      </c>
      <c r="K379" s="151">
        <f>'LABOR SHEET'!C$5</f>
        <v>96.91</v>
      </c>
      <c r="L379" s="150">
        <f t="shared" si="300"/>
        <v>135.67400000000001</v>
      </c>
      <c r="M379" s="150">
        <f t="shared" si="301"/>
        <v>135.67400000000001</v>
      </c>
      <c r="N379" s="251">
        <v>330</v>
      </c>
      <c r="O379" s="150">
        <f t="shared" si="302"/>
        <v>330</v>
      </c>
      <c r="P379" s="150">
        <f t="shared" si="303"/>
        <v>465.67399999999998</v>
      </c>
      <c r="Q379" s="104">
        <f t="shared" si="304"/>
        <v>465.67399999999998</v>
      </c>
      <c r="R379" s="203"/>
      <c r="S379" s="203"/>
      <c r="T379" s="203"/>
      <c r="U379" s="203"/>
      <c r="V379" s="203"/>
      <c r="W379" s="203"/>
      <c r="X379" s="203"/>
      <c r="Y379" s="203"/>
      <c r="Z379" s="203"/>
      <c r="AA379" s="203"/>
      <c r="AB379" s="203"/>
      <c r="AC379" s="203"/>
      <c r="AD379" s="203"/>
      <c r="AE379" s="203"/>
      <c r="AF379" s="203"/>
      <c r="AG379" s="203"/>
      <c r="AH379" s="203"/>
      <c r="AI379" s="203"/>
      <c r="AJ379" s="203"/>
    </row>
    <row r="380" spans="1:36" s="32" customFormat="1" ht="31.2">
      <c r="A380" s="131">
        <f>IF(F380&lt;&gt;"",1+MAX($A$2:A379),"")</f>
        <v>276</v>
      </c>
      <c r="B380" s="358"/>
      <c r="C380" s="137"/>
      <c r="D380" s="167" t="s">
        <v>325</v>
      </c>
      <c r="E380" s="134">
        <v>1</v>
      </c>
      <c r="F380" s="176">
        <v>0</v>
      </c>
      <c r="G380" s="177">
        <f t="shared" si="305"/>
        <v>1</v>
      </c>
      <c r="H380" s="164" t="s">
        <v>81</v>
      </c>
      <c r="I380" s="250">
        <v>1.5</v>
      </c>
      <c r="J380" s="149">
        <f t="shared" si="299"/>
        <v>1.5</v>
      </c>
      <c r="K380" s="151">
        <f>'LABOR SHEET'!C$5</f>
        <v>96.91</v>
      </c>
      <c r="L380" s="150">
        <f t="shared" si="300"/>
        <v>145.36500000000001</v>
      </c>
      <c r="M380" s="150">
        <f t="shared" si="301"/>
        <v>145.36500000000001</v>
      </c>
      <c r="N380" s="251">
        <v>350</v>
      </c>
      <c r="O380" s="150">
        <f t="shared" si="302"/>
        <v>350</v>
      </c>
      <c r="P380" s="150">
        <f t="shared" si="303"/>
        <v>495.36500000000001</v>
      </c>
      <c r="Q380" s="104">
        <f t="shared" si="304"/>
        <v>495.36500000000001</v>
      </c>
      <c r="R380" s="203"/>
      <c r="S380" s="203"/>
      <c r="T380" s="203"/>
      <c r="U380" s="203"/>
      <c r="V380" s="203"/>
      <c r="W380" s="203"/>
      <c r="X380" s="203"/>
      <c r="Y380" s="203"/>
      <c r="Z380" s="203"/>
      <c r="AA380" s="203"/>
      <c r="AB380" s="203"/>
      <c r="AC380" s="203"/>
      <c r="AD380" s="203"/>
      <c r="AE380" s="203"/>
      <c r="AF380" s="203"/>
      <c r="AG380" s="203"/>
      <c r="AH380" s="203"/>
      <c r="AI380" s="203"/>
      <c r="AJ380" s="203"/>
    </row>
    <row r="381" spans="1:36" s="32" customFormat="1" ht="31.2">
      <c r="A381" s="131">
        <f>IF(F381&lt;&gt;"",1+MAX($A$2:A380),"")</f>
        <v>277</v>
      </c>
      <c r="B381" s="358"/>
      <c r="C381" s="137"/>
      <c r="D381" s="167" t="s">
        <v>326</v>
      </c>
      <c r="E381" s="134">
        <v>1</v>
      </c>
      <c r="F381" s="176">
        <v>0</v>
      </c>
      <c r="G381" s="177">
        <f t="shared" si="305"/>
        <v>1</v>
      </c>
      <c r="H381" s="164" t="s">
        <v>81</v>
      </c>
      <c r="I381" s="250">
        <v>1.5</v>
      </c>
      <c r="J381" s="149">
        <f t="shared" si="299"/>
        <v>1.5</v>
      </c>
      <c r="K381" s="151">
        <f>'LABOR SHEET'!C$5</f>
        <v>96.91</v>
      </c>
      <c r="L381" s="150">
        <f t="shared" si="300"/>
        <v>145.36500000000001</v>
      </c>
      <c r="M381" s="150">
        <f t="shared" si="301"/>
        <v>145.36500000000001</v>
      </c>
      <c r="N381" s="251">
        <v>360</v>
      </c>
      <c r="O381" s="150">
        <f t="shared" si="302"/>
        <v>360</v>
      </c>
      <c r="P381" s="150">
        <f t="shared" si="303"/>
        <v>505.36500000000001</v>
      </c>
      <c r="Q381" s="104">
        <f t="shared" si="304"/>
        <v>505.36500000000001</v>
      </c>
      <c r="R381" s="203"/>
      <c r="S381" s="203"/>
      <c r="T381" s="203"/>
      <c r="U381" s="203"/>
      <c r="V381" s="203"/>
      <c r="W381" s="203"/>
      <c r="X381" s="203"/>
      <c r="Y381" s="203"/>
      <c r="Z381" s="203"/>
      <c r="AA381" s="203"/>
      <c r="AB381" s="203"/>
      <c r="AC381" s="203"/>
      <c r="AD381" s="203"/>
      <c r="AE381" s="203"/>
      <c r="AF381" s="203"/>
      <c r="AG381" s="203"/>
      <c r="AH381" s="203"/>
      <c r="AI381" s="203"/>
      <c r="AJ381" s="203"/>
    </row>
    <row r="382" spans="1:36" s="32" customFormat="1" ht="31.2">
      <c r="A382" s="131">
        <f>IF(F382&lt;&gt;"",1+MAX($A$2:A381),"")</f>
        <v>278</v>
      </c>
      <c r="B382" s="358"/>
      <c r="C382" s="137"/>
      <c r="D382" s="167" t="s">
        <v>327</v>
      </c>
      <c r="E382" s="134">
        <v>2</v>
      </c>
      <c r="F382" s="176">
        <v>0</v>
      </c>
      <c r="G382" s="177">
        <f t="shared" si="305"/>
        <v>2</v>
      </c>
      <c r="H382" s="164" t="s">
        <v>81</v>
      </c>
      <c r="I382" s="250">
        <v>1.2</v>
      </c>
      <c r="J382" s="149">
        <f t="shared" si="299"/>
        <v>2.4</v>
      </c>
      <c r="K382" s="151">
        <f>'LABOR SHEET'!C$5</f>
        <v>96.91</v>
      </c>
      <c r="L382" s="150">
        <f t="shared" si="300"/>
        <v>116.292</v>
      </c>
      <c r="M382" s="150">
        <f t="shared" si="301"/>
        <v>232.584</v>
      </c>
      <c r="N382" s="251">
        <v>180</v>
      </c>
      <c r="O382" s="150">
        <f t="shared" si="302"/>
        <v>360</v>
      </c>
      <c r="P382" s="150">
        <f t="shared" si="303"/>
        <v>296.29199999999997</v>
      </c>
      <c r="Q382" s="104">
        <f t="shared" si="304"/>
        <v>592.58399999999995</v>
      </c>
      <c r="R382" s="203"/>
      <c r="S382" s="203"/>
      <c r="T382" s="203"/>
      <c r="U382" s="203"/>
      <c r="V382" s="203"/>
      <c r="W382" s="203"/>
      <c r="X382" s="203"/>
      <c r="Y382" s="203"/>
      <c r="Z382" s="203"/>
      <c r="AA382" s="203"/>
      <c r="AB382" s="203"/>
      <c r="AC382" s="203"/>
      <c r="AD382" s="203"/>
      <c r="AE382" s="203"/>
      <c r="AF382" s="203"/>
      <c r="AG382" s="203"/>
      <c r="AH382" s="203"/>
      <c r="AI382" s="203"/>
      <c r="AJ382" s="203"/>
    </row>
    <row r="383" spans="1:36" s="32" customFormat="1" ht="31.2">
      <c r="A383" s="131">
        <f>IF(F383&lt;&gt;"",1+MAX($A$2:A382),"")</f>
        <v>279</v>
      </c>
      <c r="B383" s="358"/>
      <c r="C383" s="137"/>
      <c r="D383" s="167" t="s">
        <v>328</v>
      </c>
      <c r="E383" s="134">
        <v>1</v>
      </c>
      <c r="F383" s="176">
        <v>0</v>
      </c>
      <c r="G383" s="177">
        <f t="shared" si="305"/>
        <v>1</v>
      </c>
      <c r="H383" s="164" t="s">
        <v>81</v>
      </c>
      <c r="I383" s="250">
        <v>1.3</v>
      </c>
      <c r="J383" s="149">
        <f t="shared" si="299"/>
        <v>1.3</v>
      </c>
      <c r="K383" s="151">
        <f>'LABOR SHEET'!C$5</f>
        <v>96.91</v>
      </c>
      <c r="L383" s="150">
        <f t="shared" si="300"/>
        <v>125.983</v>
      </c>
      <c r="M383" s="150">
        <f t="shared" si="301"/>
        <v>125.983</v>
      </c>
      <c r="N383" s="251">
        <v>240</v>
      </c>
      <c r="O383" s="150">
        <f t="shared" si="302"/>
        <v>240</v>
      </c>
      <c r="P383" s="150">
        <f t="shared" si="303"/>
        <v>365.983</v>
      </c>
      <c r="Q383" s="104">
        <f t="shared" si="304"/>
        <v>365.983</v>
      </c>
      <c r="R383" s="203"/>
      <c r="S383" s="203"/>
      <c r="T383" s="203"/>
      <c r="U383" s="203"/>
      <c r="V383" s="203"/>
      <c r="W383" s="203"/>
      <c r="X383" s="203"/>
      <c r="Y383" s="203"/>
      <c r="Z383" s="203"/>
      <c r="AA383" s="203"/>
      <c r="AB383" s="203"/>
      <c r="AC383" s="203"/>
      <c r="AD383" s="203"/>
      <c r="AE383" s="203"/>
      <c r="AF383" s="203"/>
      <c r="AG383" s="203"/>
      <c r="AH383" s="203"/>
      <c r="AI383" s="203"/>
      <c r="AJ383" s="203"/>
    </row>
    <row r="384" spans="1:36" s="32" customFormat="1" ht="31.2">
      <c r="A384" s="131">
        <f>IF(F384&lt;&gt;"",1+MAX($A$2:A383),"")</f>
        <v>280</v>
      </c>
      <c r="B384" s="358"/>
      <c r="C384" s="137"/>
      <c r="D384" s="167" t="s">
        <v>329</v>
      </c>
      <c r="E384" s="134">
        <v>2</v>
      </c>
      <c r="F384" s="176">
        <v>0</v>
      </c>
      <c r="G384" s="177">
        <f t="shared" si="305"/>
        <v>2</v>
      </c>
      <c r="H384" s="164" t="s">
        <v>81</v>
      </c>
      <c r="I384" s="250">
        <v>1.5</v>
      </c>
      <c r="J384" s="149">
        <f t="shared" si="299"/>
        <v>3</v>
      </c>
      <c r="K384" s="151">
        <f>'LABOR SHEET'!C$5</f>
        <v>96.91</v>
      </c>
      <c r="L384" s="150">
        <f t="shared" si="300"/>
        <v>145.36500000000001</v>
      </c>
      <c r="M384" s="150">
        <f t="shared" si="301"/>
        <v>290.73</v>
      </c>
      <c r="N384" s="251">
        <v>350</v>
      </c>
      <c r="O384" s="150">
        <f t="shared" si="302"/>
        <v>700</v>
      </c>
      <c r="P384" s="150">
        <f t="shared" si="303"/>
        <v>495.36500000000001</v>
      </c>
      <c r="Q384" s="104">
        <f t="shared" si="304"/>
        <v>990.73</v>
      </c>
      <c r="R384" s="203"/>
      <c r="S384" s="203"/>
      <c r="T384" s="203"/>
      <c r="U384" s="203"/>
      <c r="V384" s="203"/>
      <c r="W384" s="203"/>
      <c r="X384" s="203"/>
      <c r="Y384" s="203"/>
      <c r="Z384" s="203"/>
      <c r="AA384" s="203"/>
      <c r="AB384" s="203"/>
      <c r="AC384" s="203"/>
      <c r="AD384" s="203"/>
      <c r="AE384" s="203"/>
      <c r="AF384" s="203"/>
      <c r="AG384" s="203"/>
      <c r="AH384" s="203"/>
      <c r="AI384" s="203"/>
      <c r="AJ384" s="203"/>
    </row>
    <row r="385" spans="1:36" s="32" customFormat="1">
      <c r="A385" s="131" t="str">
        <f>IF(F385&lt;&gt;"",1+MAX($A$2:A384),"")</f>
        <v/>
      </c>
      <c r="B385" s="358"/>
      <c r="C385" s="137"/>
      <c r="D385" s="167"/>
      <c r="E385" s="134"/>
      <c r="F385" s="176"/>
      <c r="G385" s="177"/>
      <c r="H385" s="164"/>
      <c r="I385" s="250"/>
      <c r="J385" s="149"/>
      <c r="K385" s="151"/>
      <c r="L385" s="150"/>
      <c r="M385" s="257"/>
      <c r="N385" s="251"/>
      <c r="O385" s="150"/>
      <c r="P385" s="150"/>
      <c r="Q385" s="152"/>
      <c r="R385" s="203"/>
      <c r="S385" s="203"/>
      <c r="T385" s="203"/>
      <c r="U385" s="203"/>
      <c r="V385" s="203"/>
      <c r="W385" s="203"/>
      <c r="X385" s="203"/>
      <c r="Y385" s="203"/>
      <c r="Z385" s="203"/>
      <c r="AA385" s="203"/>
      <c r="AB385" s="203"/>
      <c r="AC385" s="203"/>
      <c r="AD385" s="203"/>
      <c r="AE385" s="203"/>
      <c r="AF385" s="203"/>
      <c r="AG385" s="203"/>
      <c r="AH385" s="203"/>
      <c r="AI385" s="203"/>
      <c r="AJ385" s="203"/>
    </row>
    <row r="386" spans="1:36" s="32" customFormat="1">
      <c r="A386" s="131" t="str">
        <f>IF(F386&lt;&gt;"",1+MAX($A$2:A385),"")</f>
        <v/>
      </c>
      <c r="B386" s="358"/>
      <c r="C386" s="134"/>
      <c r="D386" s="221" t="s">
        <v>330</v>
      </c>
      <c r="E386" s="164"/>
      <c r="F386" s="164"/>
      <c r="G386" s="164"/>
      <c r="H386" s="164"/>
      <c r="I386" s="258"/>
      <c r="J386" s="246"/>
      <c r="K386" s="247"/>
      <c r="L386" s="150"/>
      <c r="M386" s="150"/>
      <c r="N386" s="251"/>
      <c r="O386" s="150"/>
      <c r="P386" s="150"/>
      <c r="Q386" s="152"/>
      <c r="R386" s="203"/>
      <c r="S386" s="203"/>
      <c r="T386" s="203"/>
      <c r="U386" s="203"/>
      <c r="V386" s="203"/>
      <c r="W386" s="203"/>
      <c r="X386" s="203"/>
      <c r="Y386" s="203"/>
      <c r="Z386" s="203"/>
      <c r="AA386" s="203"/>
      <c r="AB386" s="203"/>
      <c r="AC386" s="203"/>
      <c r="AD386" s="203"/>
      <c r="AE386" s="203"/>
      <c r="AF386" s="203"/>
      <c r="AG386" s="203"/>
      <c r="AH386" s="203"/>
      <c r="AI386" s="203"/>
      <c r="AJ386" s="203"/>
    </row>
    <row r="387" spans="1:36" s="32" customFormat="1" ht="31.2">
      <c r="A387" s="131">
        <f>IF(F387&lt;&gt;"",1+MAX($A$2:A386),"")</f>
        <v>281</v>
      </c>
      <c r="B387" s="358"/>
      <c r="C387" s="137"/>
      <c r="D387" s="234" t="s">
        <v>331</v>
      </c>
      <c r="E387" s="134">
        <v>1</v>
      </c>
      <c r="F387" s="176">
        <v>0</v>
      </c>
      <c r="G387" s="177">
        <f>E387*(1+F387)</f>
        <v>1</v>
      </c>
      <c r="H387" s="164" t="s">
        <v>81</v>
      </c>
      <c r="I387" s="250">
        <v>2.5</v>
      </c>
      <c r="J387" s="149">
        <f t="shared" ref="J387:J391" si="306">+I387*G387</f>
        <v>2.5</v>
      </c>
      <c r="K387" s="151">
        <f>'LABOR SHEET'!C$5</f>
        <v>96.91</v>
      </c>
      <c r="L387" s="150">
        <f t="shared" ref="L387:L391" si="307">I387*K387</f>
        <v>242.27500000000001</v>
      </c>
      <c r="M387" s="150">
        <f t="shared" ref="M387:M391" si="308">K387*J387</f>
        <v>242.27500000000001</v>
      </c>
      <c r="N387" s="251">
        <v>676</v>
      </c>
      <c r="O387" s="150">
        <f t="shared" ref="O387:O391" si="309">N387*G387</f>
        <v>676</v>
      </c>
      <c r="P387" s="150">
        <f t="shared" ref="P387:P391" si="310">(I387*K387)+N387</f>
        <v>918.27499999999998</v>
      </c>
      <c r="Q387" s="104">
        <f t="shared" ref="Q387:Q391" si="311">P387*G387</f>
        <v>918.27499999999998</v>
      </c>
      <c r="R387" s="203"/>
      <c r="S387" s="203"/>
      <c r="T387" s="203"/>
      <c r="U387" s="203"/>
      <c r="V387" s="203"/>
      <c r="W387" s="203"/>
      <c r="X387" s="203"/>
      <c r="Y387" s="203"/>
      <c r="Z387" s="203"/>
      <c r="AA387" s="203"/>
      <c r="AB387" s="203"/>
      <c r="AC387" s="203"/>
      <c r="AD387" s="203"/>
      <c r="AE387" s="203"/>
      <c r="AF387" s="203"/>
      <c r="AG387" s="203"/>
      <c r="AH387" s="203"/>
      <c r="AI387" s="203"/>
      <c r="AJ387" s="203"/>
    </row>
    <row r="388" spans="1:36" s="32" customFormat="1" ht="31.2">
      <c r="A388" s="131">
        <f>IF(F388&lt;&gt;"",1+MAX($A$2:A387),"")</f>
        <v>282</v>
      </c>
      <c r="B388" s="358"/>
      <c r="C388" s="137"/>
      <c r="D388" s="234" t="s">
        <v>332</v>
      </c>
      <c r="E388" s="134">
        <v>1</v>
      </c>
      <c r="F388" s="176">
        <v>0</v>
      </c>
      <c r="G388" s="177">
        <f>E388*(1+F388)</f>
        <v>1</v>
      </c>
      <c r="H388" s="164" t="s">
        <v>81</v>
      </c>
      <c r="I388" s="250">
        <v>2.1</v>
      </c>
      <c r="J388" s="149">
        <f t="shared" si="306"/>
        <v>2.1</v>
      </c>
      <c r="K388" s="151">
        <f>'LABOR SHEET'!C$5</f>
        <v>96.91</v>
      </c>
      <c r="L388" s="150">
        <f t="shared" si="307"/>
        <v>203.511</v>
      </c>
      <c r="M388" s="150">
        <f t="shared" si="308"/>
        <v>203.511</v>
      </c>
      <c r="N388" s="251">
        <v>198</v>
      </c>
      <c r="O388" s="150">
        <f t="shared" si="309"/>
        <v>198</v>
      </c>
      <c r="P388" s="150">
        <f t="shared" si="310"/>
        <v>401.51100000000002</v>
      </c>
      <c r="Q388" s="104">
        <f t="shared" si="311"/>
        <v>401.51100000000002</v>
      </c>
      <c r="R388" s="203"/>
      <c r="S388" s="203"/>
      <c r="T388" s="203"/>
      <c r="U388" s="203"/>
      <c r="V388" s="203"/>
      <c r="W388" s="203"/>
      <c r="X388" s="203"/>
      <c r="Y388" s="203"/>
      <c r="Z388" s="203"/>
      <c r="AA388" s="203"/>
      <c r="AB388" s="203"/>
      <c r="AC388" s="203"/>
      <c r="AD388" s="203"/>
      <c r="AE388" s="203"/>
      <c r="AF388" s="203"/>
      <c r="AG388" s="203"/>
      <c r="AH388" s="203"/>
      <c r="AI388" s="203"/>
      <c r="AJ388" s="203"/>
    </row>
    <row r="389" spans="1:36" s="32" customFormat="1" ht="31.2">
      <c r="A389" s="131">
        <f>IF(F389&lt;&gt;"",1+MAX($A$2:A388),"")</f>
        <v>283</v>
      </c>
      <c r="B389" s="358"/>
      <c r="C389" s="137"/>
      <c r="D389" s="167" t="s">
        <v>333</v>
      </c>
      <c r="E389" s="134">
        <v>1</v>
      </c>
      <c r="F389" s="176">
        <v>0</v>
      </c>
      <c r="G389" s="177">
        <f>E389*(1+F389)</f>
        <v>1</v>
      </c>
      <c r="H389" s="164" t="s">
        <v>81</v>
      </c>
      <c r="I389" s="250">
        <v>2.1</v>
      </c>
      <c r="J389" s="149">
        <f t="shared" si="306"/>
        <v>2.1</v>
      </c>
      <c r="K389" s="151">
        <f>'LABOR SHEET'!C$5</f>
        <v>96.91</v>
      </c>
      <c r="L389" s="150">
        <f t="shared" si="307"/>
        <v>203.511</v>
      </c>
      <c r="M389" s="150">
        <f t="shared" si="308"/>
        <v>203.511</v>
      </c>
      <c r="N389" s="251">
        <v>198</v>
      </c>
      <c r="O389" s="150">
        <f t="shared" si="309"/>
        <v>198</v>
      </c>
      <c r="P389" s="150">
        <f t="shared" si="310"/>
        <v>401.51100000000002</v>
      </c>
      <c r="Q389" s="104">
        <f t="shared" si="311"/>
        <v>401.51100000000002</v>
      </c>
      <c r="R389" s="203"/>
      <c r="S389" s="203"/>
      <c r="T389" s="203"/>
      <c r="U389" s="203"/>
      <c r="V389" s="203"/>
      <c r="W389" s="203"/>
      <c r="X389" s="203"/>
      <c r="Y389" s="203"/>
      <c r="Z389" s="203"/>
      <c r="AA389" s="203"/>
      <c r="AB389" s="203"/>
      <c r="AC389" s="203"/>
      <c r="AD389" s="203"/>
      <c r="AE389" s="203"/>
      <c r="AF389" s="203"/>
      <c r="AG389" s="203"/>
      <c r="AH389" s="203"/>
      <c r="AI389" s="203"/>
      <c r="AJ389" s="203"/>
    </row>
    <row r="390" spans="1:36" s="32" customFormat="1" ht="31.2">
      <c r="A390" s="131">
        <f>IF(F390&lt;&gt;"",1+MAX($A$2:A389),"")</f>
        <v>284</v>
      </c>
      <c r="B390" s="358"/>
      <c r="C390" s="137"/>
      <c r="D390" s="167" t="s">
        <v>334</v>
      </c>
      <c r="E390" s="134">
        <v>1</v>
      </c>
      <c r="F390" s="176">
        <v>0</v>
      </c>
      <c r="G390" s="177">
        <f>E390*(1+F390)</f>
        <v>1</v>
      </c>
      <c r="H390" s="164" t="s">
        <v>81</v>
      </c>
      <c r="I390" s="250">
        <v>2.1</v>
      </c>
      <c r="J390" s="149">
        <f t="shared" si="306"/>
        <v>2.1</v>
      </c>
      <c r="K390" s="151">
        <f>'LABOR SHEET'!C$5</f>
        <v>96.91</v>
      </c>
      <c r="L390" s="150">
        <f t="shared" si="307"/>
        <v>203.511</v>
      </c>
      <c r="M390" s="150">
        <f t="shared" si="308"/>
        <v>203.511</v>
      </c>
      <c r="N390" s="251">
        <v>198</v>
      </c>
      <c r="O390" s="150">
        <f t="shared" si="309"/>
        <v>198</v>
      </c>
      <c r="P390" s="150">
        <f t="shared" si="310"/>
        <v>401.51100000000002</v>
      </c>
      <c r="Q390" s="104">
        <f t="shared" si="311"/>
        <v>401.51100000000002</v>
      </c>
      <c r="R390" s="203"/>
      <c r="S390" s="203"/>
      <c r="T390" s="203"/>
      <c r="U390" s="203"/>
      <c r="V390" s="203"/>
      <c r="W390" s="203"/>
      <c r="X390" s="203"/>
      <c r="Y390" s="203"/>
      <c r="Z390" s="203"/>
      <c r="AA390" s="203"/>
      <c r="AB390" s="203"/>
      <c r="AC390" s="203"/>
      <c r="AD390" s="203"/>
      <c r="AE390" s="203"/>
      <c r="AF390" s="203"/>
      <c r="AG390" s="203"/>
      <c r="AH390" s="203"/>
      <c r="AI390" s="203"/>
      <c r="AJ390" s="203"/>
    </row>
    <row r="391" spans="1:36" s="32" customFormat="1" ht="31.2">
      <c r="A391" s="131">
        <f>IF(F391&lt;&gt;"",1+MAX($A$2:A390),"")</f>
        <v>285</v>
      </c>
      <c r="B391" s="358"/>
      <c r="C391" s="137"/>
      <c r="D391" s="167" t="s">
        <v>335</v>
      </c>
      <c r="E391" s="134">
        <v>1</v>
      </c>
      <c r="F391" s="176">
        <v>0</v>
      </c>
      <c r="G391" s="177">
        <f>E391*(1+F391)</f>
        <v>1</v>
      </c>
      <c r="H391" s="164" t="s">
        <v>81</v>
      </c>
      <c r="I391" s="250">
        <v>2.5</v>
      </c>
      <c r="J391" s="149">
        <f t="shared" si="306"/>
        <v>2.5</v>
      </c>
      <c r="K391" s="151">
        <f>'LABOR SHEET'!C$5</f>
        <v>96.91</v>
      </c>
      <c r="L391" s="150">
        <f t="shared" si="307"/>
        <v>242.27500000000001</v>
      </c>
      <c r="M391" s="150">
        <f t="shared" si="308"/>
        <v>242.27500000000001</v>
      </c>
      <c r="N391" s="251">
        <v>676</v>
      </c>
      <c r="O391" s="150">
        <f t="shared" si="309"/>
        <v>676</v>
      </c>
      <c r="P391" s="150">
        <f t="shared" si="310"/>
        <v>918.27499999999998</v>
      </c>
      <c r="Q391" s="104">
        <f t="shared" si="311"/>
        <v>918.27499999999998</v>
      </c>
      <c r="R391" s="203"/>
      <c r="S391" s="203"/>
      <c r="T391" s="203"/>
      <c r="U391" s="203"/>
      <c r="V391" s="203"/>
      <c r="W391" s="203"/>
      <c r="X391" s="203"/>
      <c r="Y391" s="203"/>
      <c r="Z391" s="203"/>
      <c r="AA391" s="203"/>
      <c r="AB391" s="203"/>
      <c r="AC391" s="203"/>
      <c r="AD391" s="203"/>
      <c r="AE391" s="203"/>
      <c r="AF391" s="203"/>
      <c r="AG391" s="203"/>
      <c r="AH391" s="203"/>
      <c r="AI391" s="203"/>
      <c r="AJ391" s="203"/>
    </row>
    <row r="392" spans="1:36" s="32" customFormat="1">
      <c r="A392" s="131" t="str">
        <f>IF(F392&lt;&gt;"",1+MAX($A$2:A391),"")</f>
        <v/>
      </c>
      <c r="B392" s="358"/>
      <c r="C392" s="137"/>
      <c r="D392" s="167"/>
      <c r="E392" s="134"/>
      <c r="F392" s="176"/>
      <c r="G392" s="177"/>
      <c r="H392" s="164"/>
      <c r="I392" s="250"/>
      <c r="J392" s="149"/>
      <c r="K392" s="151"/>
      <c r="L392" s="150"/>
      <c r="M392" s="150"/>
      <c r="N392" s="251"/>
      <c r="O392" s="150"/>
      <c r="P392" s="150"/>
      <c r="Q392" s="104"/>
      <c r="R392" s="203"/>
      <c r="S392" s="203"/>
      <c r="T392" s="203"/>
      <c r="U392" s="203"/>
      <c r="V392" s="203"/>
      <c r="W392" s="203"/>
      <c r="X392" s="203"/>
      <c r="Y392" s="203"/>
      <c r="Z392" s="203"/>
      <c r="AA392" s="203"/>
      <c r="AB392" s="203"/>
      <c r="AC392" s="203"/>
      <c r="AD392" s="203"/>
      <c r="AE392" s="203"/>
      <c r="AF392" s="203"/>
      <c r="AG392" s="203"/>
      <c r="AH392" s="203"/>
      <c r="AI392" s="203"/>
      <c r="AJ392" s="203"/>
    </row>
    <row r="393" spans="1:36" s="32" customFormat="1">
      <c r="A393" s="131" t="str">
        <f>IF(F393&lt;&gt;"",1+MAX($A$2:A392),"")</f>
        <v/>
      </c>
      <c r="B393" s="358"/>
      <c r="C393" s="134"/>
      <c r="D393" s="221" t="s">
        <v>336</v>
      </c>
      <c r="E393" s="164"/>
      <c r="F393" s="164"/>
      <c r="G393" s="164"/>
      <c r="H393" s="164"/>
      <c r="I393" s="258"/>
      <c r="J393" s="246"/>
      <c r="K393" s="247"/>
      <c r="L393" s="150"/>
      <c r="M393" s="150"/>
      <c r="N393" s="251"/>
      <c r="O393" s="150"/>
      <c r="P393" s="150"/>
      <c r="Q393" s="152"/>
      <c r="R393" s="203"/>
      <c r="S393" s="203"/>
      <c r="T393" s="203"/>
      <c r="U393" s="203"/>
      <c r="V393" s="203"/>
      <c r="W393" s="203"/>
      <c r="X393" s="203"/>
      <c r="Y393" s="203"/>
      <c r="Z393" s="203"/>
      <c r="AA393" s="203"/>
      <c r="AB393" s="203"/>
      <c r="AC393" s="203"/>
      <c r="AD393" s="203"/>
      <c r="AE393" s="203"/>
      <c r="AF393" s="203"/>
      <c r="AG393" s="203"/>
      <c r="AH393" s="203"/>
      <c r="AI393" s="203"/>
      <c r="AJ393" s="203"/>
    </row>
    <row r="394" spans="1:36" s="32" customFormat="1" ht="78">
      <c r="A394" s="131">
        <f>IF(F394&lt;&gt;"",1+MAX($A$2:A393),"")</f>
        <v>286</v>
      </c>
      <c r="B394" s="358"/>
      <c r="C394" s="137"/>
      <c r="D394" s="234" t="s">
        <v>337</v>
      </c>
      <c r="E394" s="134">
        <v>1</v>
      </c>
      <c r="F394" s="176">
        <v>0</v>
      </c>
      <c r="G394" s="177">
        <f>E394*(1+F394)</f>
        <v>1</v>
      </c>
      <c r="H394" s="164" t="s">
        <v>81</v>
      </c>
      <c r="I394" s="250">
        <v>3.3</v>
      </c>
      <c r="J394" s="149">
        <f t="shared" ref="J394:J400" si="312">+I394*G394</f>
        <v>3.3</v>
      </c>
      <c r="K394" s="151">
        <f>'LABOR SHEET'!C$5</f>
        <v>96.91</v>
      </c>
      <c r="L394" s="150">
        <f t="shared" ref="L394:L400" si="313">I394*K394</f>
        <v>319.803</v>
      </c>
      <c r="M394" s="150">
        <f t="shared" ref="M394:M400" si="314">K394*J394</f>
        <v>319.803</v>
      </c>
      <c r="N394" s="251">
        <v>2650</v>
      </c>
      <c r="O394" s="150">
        <f t="shared" ref="O394:O400" si="315">N394*G394</f>
        <v>2650</v>
      </c>
      <c r="P394" s="150">
        <f t="shared" ref="P394:P400" si="316">(I394*K394)+N394</f>
        <v>2969.8029999999999</v>
      </c>
      <c r="Q394" s="104">
        <f t="shared" ref="Q394:Q400" si="317">P394*G394</f>
        <v>2969.8029999999999</v>
      </c>
      <c r="R394" s="203"/>
      <c r="S394" s="203"/>
      <c r="T394" s="203"/>
      <c r="U394" s="203"/>
      <c r="V394" s="203"/>
      <c r="W394" s="203"/>
      <c r="X394" s="203"/>
      <c r="Y394" s="203"/>
      <c r="Z394" s="203"/>
      <c r="AA394" s="203"/>
      <c r="AB394" s="203"/>
      <c r="AC394" s="203"/>
      <c r="AD394" s="203"/>
      <c r="AE394" s="203"/>
      <c r="AF394" s="203"/>
      <c r="AG394" s="203"/>
      <c r="AH394" s="203"/>
      <c r="AI394" s="203"/>
      <c r="AJ394" s="203"/>
    </row>
    <row r="395" spans="1:36" s="32" customFormat="1" ht="78">
      <c r="A395" s="131">
        <f>IF(F395&lt;&gt;"",1+MAX($A$2:A394),"")</f>
        <v>287</v>
      </c>
      <c r="B395" s="358"/>
      <c r="C395" s="137"/>
      <c r="D395" s="167" t="s">
        <v>338</v>
      </c>
      <c r="E395" s="134">
        <v>1</v>
      </c>
      <c r="F395" s="176">
        <v>0</v>
      </c>
      <c r="G395" s="177">
        <f t="shared" ref="G395:G403" si="318">E395*(1+F395)</f>
        <v>1</v>
      </c>
      <c r="H395" s="164" t="s">
        <v>81</v>
      </c>
      <c r="I395" s="250">
        <v>3.3</v>
      </c>
      <c r="J395" s="149">
        <f t="shared" si="312"/>
        <v>3.3</v>
      </c>
      <c r="K395" s="151">
        <f>'LABOR SHEET'!C$5</f>
        <v>96.91</v>
      </c>
      <c r="L395" s="150">
        <f t="shared" si="313"/>
        <v>319.803</v>
      </c>
      <c r="M395" s="150">
        <f t="shared" si="314"/>
        <v>319.803</v>
      </c>
      <c r="N395" s="251">
        <v>2650</v>
      </c>
      <c r="O395" s="150">
        <f t="shared" si="315"/>
        <v>2650</v>
      </c>
      <c r="P395" s="150">
        <f t="shared" si="316"/>
        <v>2969.8029999999999</v>
      </c>
      <c r="Q395" s="104">
        <f t="shared" si="317"/>
        <v>2969.8029999999999</v>
      </c>
      <c r="R395" s="203"/>
      <c r="S395" s="203"/>
      <c r="T395" s="203"/>
      <c r="U395" s="203"/>
      <c r="V395" s="203"/>
      <c r="W395" s="203"/>
      <c r="X395" s="203"/>
      <c r="Y395" s="203"/>
      <c r="Z395" s="203"/>
      <c r="AA395" s="203"/>
      <c r="AB395" s="203"/>
      <c r="AC395" s="203"/>
      <c r="AD395" s="203"/>
      <c r="AE395" s="203"/>
      <c r="AF395" s="203"/>
      <c r="AG395" s="203"/>
      <c r="AH395" s="203"/>
      <c r="AI395" s="203"/>
      <c r="AJ395" s="203"/>
    </row>
    <row r="396" spans="1:36" s="32" customFormat="1" ht="78">
      <c r="A396" s="131">
        <f>IF(F396&lt;&gt;"",1+MAX($A$2:A395),"")</f>
        <v>288</v>
      </c>
      <c r="B396" s="358"/>
      <c r="C396" s="137"/>
      <c r="D396" s="167" t="s">
        <v>339</v>
      </c>
      <c r="E396" s="134">
        <v>1</v>
      </c>
      <c r="F396" s="176">
        <v>0</v>
      </c>
      <c r="G396" s="177">
        <f t="shared" si="318"/>
        <v>1</v>
      </c>
      <c r="H396" s="164" t="s">
        <v>81</v>
      </c>
      <c r="I396" s="250">
        <v>3.3</v>
      </c>
      <c r="J396" s="149">
        <f t="shared" si="312"/>
        <v>3.3</v>
      </c>
      <c r="K396" s="151">
        <f>'LABOR SHEET'!C$5</f>
        <v>96.91</v>
      </c>
      <c r="L396" s="150">
        <f t="shared" si="313"/>
        <v>319.803</v>
      </c>
      <c r="M396" s="150">
        <f t="shared" si="314"/>
        <v>319.803</v>
      </c>
      <c r="N396" s="251">
        <v>2650</v>
      </c>
      <c r="O396" s="150">
        <f t="shared" si="315"/>
        <v>2650</v>
      </c>
      <c r="P396" s="150">
        <f t="shared" si="316"/>
        <v>2969.8029999999999</v>
      </c>
      <c r="Q396" s="104">
        <f t="shared" si="317"/>
        <v>2969.8029999999999</v>
      </c>
      <c r="R396" s="203"/>
      <c r="S396" s="203"/>
      <c r="T396" s="203"/>
      <c r="U396" s="203"/>
      <c r="V396" s="203"/>
      <c r="W396" s="203"/>
      <c r="X396" s="203"/>
      <c r="Y396" s="203"/>
      <c r="Z396" s="203"/>
      <c r="AA396" s="203"/>
      <c r="AB396" s="203"/>
      <c r="AC396" s="203"/>
      <c r="AD396" s="203"/>
      <c r="AE396" s="203"/>
      <c r="AF396" s="203"/>
      <c r="AG396" s="203"/>
      <c r="AH396" s="203"/>
      <c r="AI396" s="203"/>
      <c r="AJ396" s="203"/>
    </row>
    <row r="397" spans="1:36" s="32" customFormat="1" ht="78">
      <c r="A397" s="131">
        <f>IF(F397&lt;&gt;"",1+MAX($A$2:A396),"")</f>
        <v>289</v>
      </c>
      <c r="B397" s="358"/>
      <c r="C397" s="137"/>
      <c r="D397" s="234" t="s">
        <v>340</v>
      </c>
      <c r="E397" s="134">
        <v>1</v>
      </c>
      <c r="F397" s="176">
        <v>0</v>
      </c>
      <c r="G397" s="177">
        <f t="shared" si="318"/>
        <v>1</v>
      </c>
      <c r="H397" s="164" t="s">
        <v>81</v>
      </c>
      <c r="I397" s="250">
        <v>2.5</v>
      </c>
      <c r="J397" s="149">
        <f t="shared" si="312"/>
        <v>2.5</v>
      </c>
      <c r="K397" s="151">
        <f>'LABOR SHEET'!C$5</f>
        <v>96.91</v>
      </c>
      <c r="L397" s="150">
        <f t="shared" si="313"/>
        <v>242.27500000000001</v>
      </c>
      <c r="M397" s="150">
        <f t="shared" si="314"/>
        <v>242.27500000000001</v>
      </c>
      <c r="N397" s="251">
        <v>1660</v>
      </c>
      <c r="O397" s="150">
        <f t="shared" si="315"/>
        <v>1660</v>
      </c>
      <c r="P397" s="150">
        <f t="shared" si="316"/>
        <v>1902.2750000000001</v>
      </c>
      <c r="Q397" s="104">
        <f t="shared" si="317"/>
        <v>1902.2750000000001</v>
      </c>
      <c r="R397" s="203"/>
      <c r="S397" s="203"/>
      <c r="T397" s="203"/>
      <c r="U397" s="203"/>
      <c r="V397" s="203"/>
      <c r="W397" s="203"/>
      <c r="X397" s="203"/>
      <c r="Y397" s="203"/>
      <c r="Z397" s="203"/>
      <c r="AA397" s="203"/>
      <c r="AB397" s="203"/>
      <c r="AC397" s="203"/>
      <c r="AD397" s="203"/>
      <c r="AE397" s="203"/>
      <c r="AF397" s="203"/>
      <c r="AG397" s="203"/>
      <c r="AH397" s="203"/>
      <c r="AI397" s="203"/>
      <c r="AJ397" s="203"/>
    </row>
    <row r="398" spans="1:36" s="32" customFormat="1" ht="78">
      <c r="A398" s="131">
        <f>IF(F398&lt;&gt;"",1+MAX($A$2:A397),"")</f>
        <v>290</v>
      </c>
      <c r="B398" s="358"/>
      <c r="C398" s="137"/>
      <c r="D398" s="167" t="s">
        <v>341</v>
      </c>
      <c r="E398" s="134">
        <v>1</v>
      </c>
      <c r="F398" s="176">
        <v>0</v>
      </c>
      <c r="G398" s="177">
        <f t="shared" si="318"/>
        <v>1</v>
      </c>
      <c r="H398" s="164" t="s">
        <v>81</v>
      </c>
      <c r="I398" s="250">
        <v>2.5</v>
      </c>
      <c r="J398" s="149">
        <f t="shared" si="312"/>
        <v>2.5</v>
      </c>
      <c r="K398" s="151">
        <f>'LABOR SHEET'!C$5</f>
        <v>96.91</v>
      </c>
      <c r="L398" s="150">
        <f t="shared" si="313"/>
        <v>242.27500000000001</v>
      </c>
      <c r="M398" s="150">
        <f t="shared" si="314"/>
        <v>242.27500000000001</v>
      </c>
      <c r="N398" s="251">
        <v>1660</v>
      </c>
      <c r="O398" s="150">
        <f t="shared" si="315"/>
        <v>1660</v>
      </c>
      <c r="P398" s="150">
        <f t="shared" si="316"/>
        <v>1902.2750000000001</v>
      </c>
      <c r="Q398" s="104">
        <f t="shared" si="317"/>
        <v>1902.2750000000001</v>
      </c>
      <c r="R398" s="203"/>
      <c r="S398" s="203"/>
      <c r="T398" s="203"/>
      <c r="U398" s="203"/>
      <c r="V398" s="203"/>
      <c r="W398" s="203"/>
      <c r="X398" s="203"/>
      <c r="Y398" s="203"/>
      <c r="Z398" s="203"/>
      <c r="AA398" s="203"/>
      <c r="AB398" s="203"/>
      <c r="AC398" s="203"/>
      <c r="AD398" s="203"/>
      <c r="AE398" s="203"/>
      <c r="AF398" s="203"/>
      <c r="AG398" s="203"/>
      <c r="AH398" s="203"/>
      <c r="AI398" s="203"/>
      <c r="AJ398" s="203"/>
    </row>
    <row r="399" spans="1:36" s="32" customFormat="1" ht="78">
      <c r="A399" s="131">
        <f>IF(F399&lt;&gt;"",1+MAX($A$2:A398),"")</f>
        <v>291</v>
      </c>
      <c r="B399" s="358"/>
      <c r="C399" s="137"/>
      <c r="D399" s="167" t="s">
        <v>342</v>
      </c>
      <c r="E399" s="134">
        <v>1</v>
      </c>
      <c r="F399" s="176">
        <v>0</v>
      </c>
      <c r="G399" s="177">
        <f t="shared" si="318"/>
        <v>1</v>
      </c>
      <c r="H399" s="164" t="s">
        <v>81</v>
      </c>
      <c r="I399" s="250">
        <v>3.3</v>
      </c>
      <c r="J399" s="149">
        <f t="shared" ref="J399" si="319">+I399*G399</f>
        <v>3.3</v>
      </c>
      <c r="K399" s="151">
        <f>'LABOR SHEET'!C$5</f>
        <v>96.91</v>
      </c>
      <c r="L399" s="150">
        <f t="shared" ref="L399" si="320">I399*K399</f>
        <v>319.803</v>
      </c>
      <c r="M399" s="150">
        <f t="shared" ref="M399" si="321">K399*J399</f>
        <v>319.803</v>
      </c>
      <c r="N399" s="251">
        <v>2650</v>
      </c>
      <c r="O399" s="150">
        <f t="shared" ref="O399" si="322">N399*G399</f>
        <v>2650</v>
      </c>
      <c r="P399" s="150">
        <f t="shared" ref="P399" si="323">(I399*K399)+N399</f>
        <v>2969.8029999999999</v>
      </c>
      <c r="Q399" s="104">
        <f t="shared" ref="Q399" si="324">P399*G399</f>
        <v>2969.8029999999999</v>
      </c>
      <c r="R399" s="203"/>
      <c r="S399" s="203"/>
      <c r="T399" s="203"/>
      <c r="U399" s="203"/>
      <c r="V399" s="203"/>
      <c r="W399" s="203"/>
      <c r="X399" s="203"/>
      <c r="Y399" s="203"/>
      <c r="Z399" s="203"/>
      <c r="AA399" s="203"/>
      <c r="AB399" s="203"/>
      <c r="AC399" s="203"/>
      <c r="AD399" s="203"/>
      <c r="AE399" s="203"/>
      <c r="AF399" s="203"/>
      <c r="AG399" s="203"/>
      <c r="AH399" s="203"/>
      <c r="AI399" s="203"/>
      <c r="AJ399" s="203"/>
    </row>
    <row r="400" spans="1:36" s="32" customFormat="1" ht="78">
      <c r="A400" s="131">
        <f>IF(F400&lt;&gt;"",1+MAX($A$2:A399),"")</f>
        <v>292</v>
      </c>
      <c r="B400" s="358"/>
      <c r="C400" s="137"/>
      <c r="D400" s="234" t="s">
        <v>343</v>
      </c>
      <c r="E400" s="134">
        <v>1</v>
      </c>
      <c r="F400" s="176">
        <v>0</v>
      </c>
      <c r="G400" s="177">
        <f t="shared" si="318"/>
        <v>1</v>
      </c>
      <c r="H400" s="164" t="s">
        <v>81</v>
      </c>
      <c r="I400" s="250">
        <v>4</v>
      </c>
      <c r="J400" s="149">
        <f t="shared" si="312"/>
        <v>4</v>
      </c>
      <c r="K400" s="151">
        <f>'LABOR SHEET'!C$5</f>
        <v>96.91</v>
      </c>
      <c r="L400" s="150">
        <f t="shared" si="313"/>
        <v>387.64</v>
      </c>
      <c r="M400" s="150">
        <f t="shared" si="314"/>
        <v>387.64</v>
      </c>
      <c r="N400" s="251">
        <v>3280</v>
      </c>
      <c r="O400" s="150">
        <f t="shared" si="315"/>
        <v>3280</v>
      </c>
      <c r="P400" s="150">
        <f t="shared" si="316"/>
        <v>3667.64</v>
      </c>
      <c r="Q400" s="104">
        <f t="shared" si="317"/>
        <v>3667.64</v>
      </c>
      <c r="R400" s="203"/>
      <c r="S400" s="203"/>
      <c r="T400" s="203"/>
      <c r="U400" s="203"/>
      <c r="V400" s="203"/>
      <c r="W400" s="203"/>
      <c r="X400" s="203"/>
      <c r="Y400" s="203"/>
      <c r="Z400" s="203"/>
      <c r="AA400" s="203"/>
      <c r="AB400" s="203"/>
      <c r="AC400" s="203"/>
      <c r="AD400" s="203"/>
      <c r="AE400" s="203"/>
      <c r="AF400" s="203"/>
      <c r="AG400" s="203"/>
      <c r="AH400" s="203"/>
      <c r="AI400" s="203"/>
      <c r="AJ400" s="203"/>
    </row>
    <row r="401" spans="1:36" s="32" customFormat="1" ht="78">
      <c r="A401" s="131">
        <f>IF(F401&lt;&gt;"",1+MAX($A$2:A400),"")</f>
        <v>293</v>
      </c>
      <c r="B401" s="358"/>
      <c r="C401" s="137"/>
      <c r="D401" s="167" t="s">
        <v>344</v>
      </c>
      <c r="E401" s="134">
        <v>1</v>
      </c>
      <c r="F401" s="176">
        <v>0</v>
      </c>
      <c r="G401" s="177">
        <f t="shared" si="318"/>
        <v>1</v>
      </c>
      <c r="H401" s="164" t="s">
        <v>81</v>
      </c>
      <c r="I401" s="250">
        <v>4</v>
      </c>
      <c r="J401" s="149">
        <f t="shared" ref="J401:J403" si="325">+I401*G401</f>
        <v>4</v>
      </c>
      <c r="K401" s="151">
        <f>'LABOR SHEET'!C$5</f>
        <v>96.91</v>
      </c>
      <c r="L401" s="150">
        <f t="shared" ref="L401:L403" si="326">I401*K401</f>
        <v>387.64</v>
      </c>
      <c r="M401" s="150">
        <f t="shared" ref="M401:M403" si="327">K401*J401</f>
        <v>387.64</v>
      </c>
      <c r="N401" s="251">
        <v>3280</v>
      </c>
      <c r="O401" s="150">
        <f t="shared" ref="O401:O403" si="328">N401*G401</f>
        <v>3280</v>
      </c>
      <c r="P401" s="150">
        <f t="shared" ref="P401:P403" si="329">(I401*K401)+N401</f>
        <v>3667.64</v>
      </c>
      <c r="Q401" s="104">
        <f t="shared" ref="Q401:Q403" si="330">P401*G401</f>
        <v>3667.64</v>
      </c>
      <c r="R401" s="203"/>
      <c r="S401" s="203"/>
      <c r="T401" s="203"/>
      <c r="U401" s="203"/>
      <c r="V401" s="203"/>
      <c r="W401" s="203"/>
      <c r="X401" s="203"/>
      <c r="Y401" s="203"/>
      <c r="Z401" s="203"/>
      <c r="AA401" s="203"/>
      <c r="AB401" s="203"/>
      <c r="AC401" s="203"/>
      <c r="AD401" s="203"/>
      <c r="AE401" s="203"/>
      <c r="AF401" s="203"/>
      <c r="AG401" s="203"/>
      <c r="AH401" s="203"/>
      <c r="AI401" s="203"/>
      <c r="AJ401" s="203"/>
    </row>
    <row r="402" spans="1:36" s="32" customFormat="1" ht="78">
      <c r="A402" s="131">
        <f>IF(F402&lt;&gt;"",1+MAX($A$2:A401),"")</f>
        <v>294</v>
      </c>
      <c r="B402" s="358"/>
      <c r="C402" s="137"/>
      <c r="D402" s="167" t="s">
        <v>345</v>
      </c>
      <c r="E402" s="134">
        <v>1</v>
      </c>
      <c r="F402" s="176">
        <v>0</v>
      </c>
      <c r="G402" s="177">
        <f t="shared" si="318"/>
        <v>1</v>
      </c>
      <c r="H402" s="164" t="s">
        <v>81</v>
      </c>
      <c r="I402" s="250">
        <v>2.5</v>
      </c>
      <c r="J402" s="149">
        <f t="shared" si="325"/>
        <v>2.5</v>
      </c>
      <c r="K402" s="151">
        <f>'LABOR SHEET'!C$5</f>
        <v>96.91</v>
      </c>
      <c r="L402" s="150">
        <f t="shared" si="326"/>
        <v>242.27500000000001</v>
      </c>
      <c r="M402" s="150">
        <f t="shared" si="327"/>
        <v>242.27500000000001</v>
      </c>
      <c r="N402" s="251">
        <v>1660</v>
      </c>
      <c r="O402" s="150">
        <f t="shared" si="328"/>
        <v>1660</v>
      </c>
      <c r="P402" s="150">
        <f t="shared" si="329"/>
        <v>1902.2750000000001</v>
      </c>
      <c r="Q402" s="104">
        <f t="shared" si="330"/>
        <v>1902.2750000000001</v>
      </c>
      <c r="R402" s="203"/>
      <c r="S402" s="203"/>
      <c r="T402" s="203"/>
      <c r="U402" s="203"/>
      <c r="V402" s="203"/>
      <c r="W402" s="203"/>
      <c r="X402" s="203"/>
      <c r="Y402" s="203"/>
      <c r="Z402" s="203"/>
      <c r="AA402" s="203"/>
      <c r="AB402" s="203"/>
      <c r="AC402" s="203"/>
      <c r="AD402" s="203"/>
      <c r="AE402" s="203"/>
      <c r="AF402" s="203"/>
      <c r="AG402" s="203"/>
      <c r="AH402" s="203"/>
      <c r="AI402" s="203"/>
      <c r="AJ402" s="203"/>
    </row>
    <row r="403" spans="1:36" s="32" customFormat="1" ht="78">
      <c r="A403" s="131">
        <f>IF(F403&lt;&gt;"",1+MAX($A$2:A402),"")</f>
        <v>295</v>
      </c>
      <c r="B403" s="358"/>
      <c r="C403" s="137"/>
      <c r="D403" s="167" t="s">
        <v>346</v>
      </c>
      <c r="E403" s="134">
        <v>1</v>
      </c>
      <c r="F403" s="176">
        <v>0</v>
      </c>
      <c r="G403" s="177">
        <f t="shared" si="318"/>
        <v>1</v>
      </c>
      <c r="H403" s="164" t="s">
        <v>81</v>
      </c>
      <c r="I403" s="250">
        <v>2.5</v>
      </c>
      <c r="J403" s="149">
        <f t="shared" si="325"/>
        <v>2.5</v>
      </c>
      <c r="K403" s="151">
        <f>'LABOR SHEET'!C$5</f>
        <v>96.91</v>
      </c>
      <c r="L403" s="150">
        <f t="shared" si="326"/>
        <v>242.27500000000001</v>
      </c>
      <c r="M403" s="150">
        <f t="shared" si="327"/>
        <v>242.27500000000001</v>
      </c>
      <c r="N403" s="251">
        <v>1660</v>
      </c>
      <c r="O403" s="150">
        <f t="shared" si="328"/>
        <v>1660</v>
      </c>
      <c r="P403" s="150">
        <f t="shared" si="329"/>
        <v>1902.2750000000001</v>
      </c>
      <c r="Q403" s="104">
        <f t="shared" si="330"/>
        <v>1902.2750000000001</v>
      </c>
      <c r="R403" s="203"/>
      <c r="S403" s="203"/>
      <c r="T403" s="203"/>
      <c r="U403" s="203"/>
      <c r="V403" s="203"/>
      <c r="W403" s="203"/>
      <c r="X403" s="203"/>
      <c r="Y403" s="203"/>
      <c r="Z403" s="203"/>
      <c r="AA403" s="203"/>
      <c r="AB403" s="203"/>
      <c r="AC403" s="203"/>
      <c r="AD403" s="203"/>
      <c r="AE403" s="203"/>
      <c r="AF403" s="203"/>
      <c r="AG403" s="203"/>
      <c r="AH403" s="203"/>
      <c r="AI403" s="203"/>
      <c r="AJ403" s="203"/>
    </row>
    <row r="404" spans="1:36" s="32" customFormat="1">
      <c r="A404" s="131" t="str">
        <f>IF(F404&lt;&gt;"",1+MAX($A$2:A403),"")</f>
        <v/>
      </c>
      <c r="B404" s="358"/>
      <c r="C404" s="137"/>
      <c r="D404" s="167"/>
      <c r="E404" s="134"/>
      <c r="F404" s="176"/>
      <c r="G404" s="177"/>
      <c r="H404" s="164"/>
      <c r="I404" s="250"/>
      <c r="J404" s="149"/>
      <c r="K404" s="151"/>
      <c r="L404" s="150"/>
      <c r="M404" s="257"/>
      <c r="N404" s="251"/>
      <c r="O404" s="150"/>
      <c r="P404" s="150"/>
      <c r="Q404" s="152"/>
      <c r="R404" s="203"/>
      <c r="S404" s="203"/>
      <c r="T404" s="203"/>
      <c r="U404" s="203"/>
      <c r="V404" s="203"/>
      <c r="W404" s="203"/>
      <c r="X404" s="203"/>
      <c r="Y404" s="203"/>
      <c r="Z404" s="203"/>
      <c r="AA404" s="203"/>
      <c r="AB404" s="203"/>
      <c r="AC404" s="203"/>
      <c r="AD404" s="203"/>
      <c r="AE404" s="203"/>
      <c r="AF404" s="203"/>
      <c r="AG404" s="203"/>
      <c r="AH404" s="203"/>
      <c r="AI404" s="203"/>
      <c r="AJ404" s="203"/>
    </row>
    <row r="405" spans="1:36" s="32" customFormat="1">
      <c r="A405" s="131" t="str">
        <f>IF(F405&lt;&gt;"",1+MAX($A$2:A404),"")</f>
        <v/>
      </c>
      <c r="B405" s="358"/>
      <c r="C405" s="134"/>
      <c r="D405" s="221" t="s">
        <v>347</v>
      </c>
      <c r="E405" s="164"/>
      <c r="F405" s="164"/>
      <c r="G405" s="164"/>
      <c r="H405" s="164"/>
      <c r="I405" s="258"/>
      <c r="J405" s="246"/>
      <c r="K405" s="247"/>
      <c r="L405" s="150"/>
      <c r="M405" s="150"/>
      <c r="N405" s="251"/>
      <c r="O405" s="150"/>
      <c r="P405" s="150"/>
      <c r="Q405" s="152"/>
      <c r="R405" s="203"/>
      <c r="S405" s="203"/>
      <c r="T405" s="203"/>
      <c r="U405" s="203"/>
      <c r="V405" s="203"/>
      <c r="W405" s="203"/>
      <c r="X405" s="203"/>
      <c r="Y405" s="203"/>
      <c r="Z405" s="203"/>
      <c r="AA405" s="203"/>
      <c r="AB405" s="203"/>
      <c r="AC405" s="203"/>
      <c r="AD405" s="203"/>
      <c r="AE405" s="203"/>
      <c r="AF405" s="203"/>
      <c r="AG405" s="203"/>
      <c r="AH405" s="203"/>
      <c r="AI405" s="203"/>
      <c r="AJ405" s="203"/>
    </row>
    <row r="406" spans="1:36" s="32" customFormat="1" ht="31.2">
      <c r="A406" s="131">
        <f>IF(F406&lt;&gt;"",1+MAX($A$2:A405),"")</f>
        <v>296</v>
      </c>
      <c r="B406" s="358"/>
      <c r="C406" s="137"/>
      <c r="D406" s="234" t="s">
        <v>348</v>
      </c>
      <c r="E406" s="134">
        <v>1</v>
      </c>
      <c r="F406" s="176">
        <v>0</v>
      </c>
      <c r="G406" s="177">
        <f>E406*(1+F406)</f>
        <v>1</v>
      </c>
      <c r="H406" s="164" t="s">
        <v>81</v>
      </c>
      <c r="I406" s="250">
        <v>3.85</v>
      </c>
      <c r="J406" s="149">
        <f t="shared" ref="J406:J415" si="331">+I406*G406</f>
        <v>3.85</v>
      </c>
      <c r="K406" s="151">
        <f>'LABOR SHEET'!C$5</f>
        <v>96.91</v>
      </c>
      <c r="L406" s="150">
        <f t="shared" ref="L406:L415" si="332">I406*K406</f>
        <v>373.1035</v>
      </c>
      <c r="M406" s="150">
        <f t="shared" ref="M406:M415" si="333">K406*J406</f>
        <v>373.1035</v>
      </c>
      <c r="N406" s="251">
        <v>2950</v>
      </c>
      <c r="O406" s="150">
        <f t="shared" ref="O406:O415" si="334">N406*G406</f>
        <v>2950</v>
      </c>
      <c r="P406" s="150">
        <f t="shared" ref="P406:P415" si="335">(I406*K406)+N406</f>
        <v>3323.1035000000002</v>
      </c>
      <c r="Q406" s="104">
        <f t="shared" ref="Q406:Q415" si="336">P406*G406</f>
        <v>3323.1035000000002</v>
      </c>
      <c r="R406" s="203"/>
      <c r="S406" s="203"/>
      <c r="T406" s="203"/>
      <c r="U406" s="203"/>
      <c r="V406" s="203"/>
      <c r="W406" s="203"/>
      <c r="X406" s="203"/>
      <c r="Y406" s="203"/>
      <c r="Z406" s="203"/>
      <c r="AA406" s="203"/>
      <c r="AB406" s="203"/>
      <c r="AC406" s="203"/>
      <c r="AD406" s="203"/>
      <c r="AE406" s="203"/>
      <c r="AF406" s="203"/>
      <c r="AG406" s="203"/>
      <c r="AH406" s="203"/>
      <c r="AI406" s="203"/>
      <c r="AJ406" s="203"/>
    </row>
    <row r="407" spans="1:36" s="32" customFormat="1" ht="31.2">
      <c r="A407" s="131">
        <f>IF(F407&lt;&gt;"",1+MAX($A$2:A406),"")</f>
        <v>297</v>
      </c>
      <c r="B407" s="358"/>
      <c r="C407" s="137"/>
      <c r="D407" s="167" t="s">
        <v>349</v>
      </c>
      <c r="E407" s="134">
        <v>1</v>
      </c>
      <c r="F407" s="176">
        <v>0</v>
      </c>
      <c r="G407" s="177">
        <f t="shared" ref="G407:G415" si="337">E407*(1+F407)</f>
        <v>1</v>
      </c>
      <c r="H407" s="164" t="s">
        <v>81</v>
      </c>
      <c r="I407" s="250">
        <v>3.85</v>
      </c>
      <c r="J407" s="149">
        <f t="shared" si="331"/>
        <v>3.85</v>
      </c>
      <c r="K407" s="151">
        <f>'LABOR SHEET'!C$5</f>
        <v>96.91</v>
      </c>
      <c r="L407" s="150">
        <f t="shared" si="332"/>
        <v>373.1035</v>
      </c>
      <c r="M407" s="150">
        <f t="shared" si="333"/>
        <v>373.1035</v>
      </c>
      <c r="N407" s="251">
        <v>2950</v>
      </c>
      <c r="O407" s="150">
        <f t="shared" si="334"/>
        <v>2950</v>
      </c>
      <c r="P407" s="150">
        <f t="shared" si="335"/>
        <v>3323.1035000000002</v>
      </c>
      <c r="Q407" s="104">
        <f t="shared" si="336"/>
        <v>3323.1035000000002</v>
      </c>
      <c r="R407" s="203"/>
      <c r="S407" s="203"/>
      <c r="T407" s="203"/>
      <c r="U407" s="203"/>
      <c r="V407" s="203"/>
      <c r="W407" s="203"/>
      <c r="X407" s="203"/>
      <c r="Y407" s="203"/>
      <c r="Z407" s="203"/>
      <c r="AA407" s="203"/>
      <c r="AB407" s="203"/>
      <c r="AC407" s="203"/>
      <c r="AD407" s="203"/>
      <c r="AE407" s="203"/>
      <c r="AF407" s="203"/>
      <c r="AG407" s="203"/>
      <c r="AH407" s="203"/>
      <c r="AI407" s="203"/>
      <c r="AJ407" s="203"/>
    </row>
    <row r="408" spans="1:36" s="32" customFormat="1" ht="31.2">
      <c r="A408" s="131">
        <f>IF(F408&lt;&gt;"",1+MAX($A$2:A407),"")</f>
        <v>298</v>
      </c>
      <c r="B408" s="358"/>
      <c r="C408" s="137"/>
      <c r="D408" s="167" t="s">
        <v>350</v>
      </c>
      <c r="E408" s="134">
        <v>1</v>
      </c>
      <c r="F408" s="176">
        <v>0</v>
      </c>
      <c r="G408" s="177">
        <f t="shared" si="337"/>
        <v>1</v>
      </c>
      <c r="H408" s="164" t="s">
        <v>81</v>
      </c>
      <c r="I408" s="250">
        <v>3.85</v>
      </c>
      <c r="J408" s="149">
        <f t="shared" si="331"/>
        <v>3.85</v>
      </c>
      <c r="K408" s="151">
        <f>'LABOR SHEET'!C$5</f>
        <v>96.91</v>
      </c>
      <c r="L408" s="150">
        <f t="shared" si="332"/>
        <v>373.1035</v>
      </c>
      <c r="M408" s="150">
        <f t="shared" si="333"/>
        <v>373.1035</v>
      </c>
      <c r="N408" s="251">
        <v>2950</v>
      </c>
      <c r="O408" s="150">
        <f t="shared" si="334"/>
        <v>2950</v>
      </c>
      <c r="P408" s="150">
        <f t="shared" si="335"/>
        <v>3323.1035000000002</v>
      </c>
      <c r="Q408" s="104">
        <f t="shared" si="336"/>
        <v>3323.1035000000002</v>
      </c>
      <c r="R408" s="203"/>
      <c r="S408" s="203"/>
      <c r="T408" s="203"/>
      <c r="U408" s="203"/>
      <c r="V408" s="203"/>
      <c r="W408" s="203"/>
      <c r="X408" s="203"/>
      <c r="Y408" s="203"/>
      <c r="Z408" s="203"/>
      <c r="AA408" s="203"/>
      <c r="AB408" s="203"/>
      <c r="AC408" s="203"/>
      <c r="AD408" s="203"/>
      <c r="AE408" s="203"/>
      <c r="AF408" s="203"/>
      <c r="AG408" s="203"/>
      <c r="AH408" s="203"/>
      <c r="AI408" s="203"/>
      <c r="AJ408" s="203"/>
    </row>
    <row r="409" spans="1:36" s="32" customFormat="1" ht="31.2">
      <c r="A409" s="131">
        <f>IF(F409&lt;&gt;"",1+MAX($A$2:A408),"")</f>
        <v>299</v>
      </c>
      <c r="B409" s="358"/>
      <c r="C409" s="137"/>
      <c r="D409" s="234" t="s">
        <v>351</v>
      </c>
      <c r="E409" s="134">
        <v>1</v>
      </c>
      <c r="F409" s="176">
        <v>0</v>
      </c>
      <c r="G409" s="177">
        <f t="shared" si="337"/>
        <v>1</v>
      </c>
      <c r="H409" s="164" t="s">
        <v>81</v>
      </c>
      <c r="I409" s="250">
        <v>3.1</v>
      </c>
      <c r="J409" s="149">
        <f t="shared" si="331"/>
        <v>3.1</v>
      </c>
      <c r="K409" s="151">
        <f>'LABOR SHEET'!C$5</f>
        <v>96.91</v>
      </c>
      <c r="L409" s="150">
        <f t="shared" si="332"/>
        <v>300.42099999999999</v>
      </c>
      <c r="M409" s="150">
        <f t="shared" si="333"/>
        <v>300.42099999999999</v>
      </c>
      <c r="N409" s="251">
        <v>2125</v>
      </c>
      <c r="O409" s="150">
        <f t="shared" si="334"/>
        <v>2125</v>
      </c>
      <c r="P409" s="150">
        <f t="shared" si="335"/>
        <v>2425.4209999999998</v>
      </c>
      <c r="Q409" s="104">
        <f t="shared" si="336"/>
        <v>2425.4209999999998</v>
      </c>
      <c r="R409" s="203"/>
      <c r="S409" s="203"/>
      <c r="T409" s="203"/>
      <c r="U409" s="203"/>
      <c r="V409" s="203"/>
      <c r="W409" s="203"/>
      <c r="X409" s="203"/>
      <c r="Y409" s="203"/>
      <c r="Z409" s="203"/>
      <c r="AA409" s="203"/>
      <c r="AB409" s="203"/>
      <c r="AC409" s="203"/>
      <c r="AD409" s="203"/>
      <c r="AE409" s="203"/>
      <c r="AF409" s="203"/>
      <c r="AG409" s="203"/>
      <c r="AH409" s="203"/>
      <c r="AI409" s="203"/>
      <c r="AJ409" s="203"/>
    </row>
    <row r="410" spans="1:36" s="32" customFormat="1" ht="31.2">
      <c r="A410" s="131">
        <f>IF(F410&lt;&gt;"",1+MAX($A$2:A409),"")</f>
        <v>300</v>
      </c>
      <c r="B410" s="358"/>
      <c r="C410" s="137"/>
      <c r="D410" s="167" t="s">
        <v>352</v>
      </c>
      <c r="E410" s="134">
        <v>1</v>
      </c>
      <c r="F410" s="176">
        <v>0</v>
      </c>
      <c r="G410" s="177">
        <f t="shared" si="337"/>
        <v>1</v>
      </c>
      <c r="H410" s="164" t="s">
        <v>81</v>
      </c>
      <c r="I410" s="250">
        <v>3.1</v>
      </c>
      <c r="J410" s="149">
        <f t="shared" si="331"/>
        <v>3.1</v>
      </c>
      <c r="K410" s="151">
        <f>'LABOR SHEET'!C$5</f>
        <v>96.91</v>
      </c>
      <c r="L410" s="150">
        <f t="shared" si="332"/>
        <v>300.42099999999999</v>
      </c>
      <c r="M410" s="150">
        <f t="shared" si="333"/>
        <v>300.42099999999999</v>
      </c>
      <c r="N410" s="251">
        <v>2125</v>
      </c>
      <c r="O410" s="150">
        <f t="shared" si="334"/>
        <v>2125</v>
      </c>
      <c r="P410" s="150">
        <f t="shared" si="335"/>
        <v>2425.4209999999998</v>
      </c>
      <c r="Q410" s="104">
        <f t="shared" si="336"/>
        <v>2425.4209999999998</v>
      </c>
      <c r="R410" s="203"/>
      <c r="S410" s="203"/>
      <c r="T410" s="203"/>
      <c r="U410" s="203"/>
      <c r="V410" s="203"/>
      <c r="W410" s="203"/>
      <c r="X410" s="203"/>
      <c r="Y410" s="203"/>
      <c r="Z410" s="203"/>
      <c r="AA410" s="203"/>
      <c r="AB410" s="203"/>
      <c r="AC410" s="203"/>
      <c r="AD410" s="203"/>
      <c r="AE410" s="203"/>
      <c r="AF410" s="203"/>
      <c r="AG410" s="203"/>
      <c r="AH410" s="203"/>
      <c r="AI410" s="203"/>
      <c r="AJ410" s="203"/>
    </row>
    <row r="411" spans="1:36" s="32" customFormat="1" ht="31.2">
      <c r="A411" s="131">
        <f>IF(F411&lt;&gt;"",1+MAX($A$2:A410),"")</f>
        <v>301</v>
      </c>
      <c r="B411" s="358"/>
      <c r="C411" s="137"/>
      <c r="D411" s="167" t="s">
        <v>353</v>
      </c>
      <c r="E411" s="134">
        <v>1</v>
      </c>
      <c r="F411" s="176">
        <v>0</v>
      </c>
      <c r="G411" s="177">
        <f t="shared" si="337"/>
        <v>1</v>
      </c>
      <c r="H411" s="164" t="s">
        <v>81</v>
      </c>
      <c r="I411" s="250">
        <v>3.85</v>
      </c>
      <c r="J411" s="149">
        <f t="shared" ref="J411" si="338">+I411*G411</f>
        <v>3.85</v>
      </c>
      <c r="K411" s="151">
        <f>'LABOR SHEET'!C$5</f>
        <v>96.91</v>
      </c>
      <c r="L411" s="150">
        <f t="shared" ref="L411" si="339">I411*K411</f>
        <v>373.1035</v>
      </c>
      <c r="M411" s="150">
        <f t="shared" ref="M411" si="340">K411*J411</f>
        <v>373.1035</v>
      </c>
      <c r="N411" s="251">
        <v>2950</v>
      </c>
      <c r="O411" s="150">
        <f t="shared" ref="O411" si="341">N411*G411</f>
        <v>2950</v>
      </c>
      <c r="P411" s="150">
        <f t="shared" ref="P411" si="342">(I411*K411)+N411</f>
        <v>3323.1035000000002</v>
      </c>
      <c r="Q411" s="104">
        <f t="shared" ref="Q411" si="343">P411*G411</f>
        <v>3323.1035000000002</v>
      </c>
      <c r="R411" s="203"/>
      <c r="S411" s="203"/>
      <c r="T411" s="203"/>
      <c r="U411" s="203"/>
      <c r="V411" s="203"/>
      <c r="W411" s="203"/>
      <c r="X411" s="203"/>
      <c r="Y411" s="203"/>
      <c r="Z411" s="203"/>
      <c r="AA411" s="203"/>
      <c r="AB411" s="203"/>
      <c r="AC411" s="203"/>
      <c r="AD411" s="203"/>
      <c r="AE411" s="203"/>
      <c r="AF411" s="203"/>
      <c r="AG411" s="203"/>
      <c r="AH411" s="203"/>
      <c r="AI411" s="203"/>
      <c r="AJ411" s="203"/>
    </row>
    <row r="412" spans="1:36" s="32" customFormat="1" ht="31.2">
      <c r="A412" s="131">
        <f>IF(F412&lt;&gt;"",1+MAX($A$2:A411),"")</f>
        <v>302</v>
      </c>
      <c r="B412" s="358"/>
      <c r="C412" s="137"/>
      <c r="D412" s="234" t="s">
        <v>354</v>
      </c>
      <c r="E412" s="134">
        <v>1</v>
      </c>
      <c r="F412" s="176">
        <v>0</v>
      </c>
      <c r="G412" s="177">
        <f t="shared" si="337"/>
        <v>1</v>
      </c>
      <c r="H412" s="164" t="s">
        <v>81</v>
      </c>
      <c r="I412" s="250">
        <v>4.8600000000000003</v>
      </c>
      <c r="J412" s="149">
        <f t="shared" si="331"/>
        <v>4.8600000000000003</v>
      </c>
      <c r="K412" s="151">
        <f>'LABOR SHEET'!C$5</f>
        <v>96.91</v>
      </c>
      <c r="L412" s="150">
        <f t="shared" si="332"/>
        <v>470.98259999999999</v>
      </c>
      <c r="M412" s="150">
        <f t="shared" si="333"/>
        <v>470.98259999999999</v>
      </c>
      <c r="N412" s="251">
        <v>3300</v>
      </c>
      <c r="O412" s="150">
        <f t="shared" si="334"/>
        <v>3300</v>
      </c>
      <c r="P412" s="150">
        <f t="shared" si="335"/>
        <v>3770.9825999999998</v>
      </c>
      <c r="Q412" s="104">
        <f t="shared" si="336"/>
        <v>3770.9825999999998</v>
      </c>
      <c r="R412" s="203"/>
      <c r="S412" s="203"/>
      <c r="T412" s="203"/>
      <c r="U412" s="203"/>
      <c r="V412" s="203"/>
      <c r="W412" s="203"/>
      <c r="X412" s="203"/>
      <c r="Y412" s="203"/>
      <c r="Z412" s="203"/>
      <c r="AA412" s="203"/>
      <c r="AB412" s="203"/>
      <c r="AC412" s="203"/>
      <c r="AD412" s="203"/>
      <c r="AE412" s="203"/>
      <c r="AF412" s="203"/>
      <c r="AG412" s="203"/>
      <c r="AH412" s="203"/>
      <c r="AI412" s="203"/>
      <c r="AJ412" s="203"/>
    </row>
    <row r="413" spans="1:36" s="32" customFormat="1" ht="31.2">
      <c r="A413" s="131">
        <f>IF(F413&lt;&gt;"",1+MAX($A$2:A412),"")</f>
        <v>303</v>
      </c>
      <c r="B413" s="358"/>
      <c r="C413" s="137"/>
      <c r="D413" s="167" t="s">
        <v>355</v>
      </c>
      <c r="E413" s="134">
        <v>1</v>
      </c>
      <c r="F413" s="176">
        <v>0</v>
      </c>
      <c r="G413" s="177">
        <f t="shared" si="337"/>
        <v>1</v>
      </c>
      <c r="H413" s="164" t="s">
        <v>81</v>
      </c>
      <c r="I413" s="250">
        <v>4.8600000000000003</v>
      </c>
      <c r="J413" s="149">
        <f t="shared" si="331"/>
        <v>4.8600000000000003</v>
      </c>
      <c r="K413" s="151">
        <f>'LABOR SHEET'!C$5</f>
        <v>96.91</v>
      </c>
      <c r="L413" s="150">
        <f t="shared" si="332"/>
        <v>470.98259999999999</v>
      </c>
      <c r="M413" s="150">
        <f t="shared" si="333"/>
        <v>470.98259999999999</v>
      </c>
      <c r="N413" s="251">
        <v>3300</v>
      </c>
      <c r="O413" s="150">
        <f t="shared" si="334"/>
        <v>3300</v>
      </c>
      <c r="P413" s="150">
        <f t="shared" si="335"/>
        <v>3770.9825999999998</v>
      </c>
      <c r="Q413" s="104">
        <f t="shared" si="336"/>
        <v>3770.9825999999998</v>
      </c>
      <c r="R413" s="203"/>
      <c r="S413" s="203"/>
      <c r="T413" s="203"/>
      <c r="U413" s="203"/>
      <c r="V413" s="203"/>
      <c r="W413" s="203"/>
      <c r="X413" s="203"/>
      <c r="Y413" s="203"/>
      <c r="Z413" s="203"/>
      <c r="AA413" s="203"/>
      <c r="AB413" s="203"/>
      <c r="AC413" s="203"/>
      <c r="AD413" s="203"/>
      <c r="AE413" s="203"/>
      <c r="AF413" s="203"/>
      <c r="AG413" s="203"/>
      <c r="AH413" s="203"/>
      <c r="AI413" s="203"/>
      <c r="AJ413" s="203"/>
    </row>
    <row r="414" spans="1:36" s="32" customFormat="1" ht="31.2">
      <c r="A414" s="131">
        <f>IF(F414&lt;&gt;"",1+MAX($A$2:A413),"")</f>
        <v>304</v>
      </c>
      <c r="B414" s="358"/>
      <c r="C414" s="137"/>
      <c r="D414" s="167" t="s">
        <v>356</v>
      </c>
      <c r="E414" s="134">
        <v>1</v>
      </c>
      <c r="F414" s="176">
        <v>0</v>
      </c>
      <c r="G414" s="177">
        <f t="shared" si="337"/>
        <v>1</v>
      </c>
      <c r="H414" s="164" t="s">
        <v>81</v>
      </c>
      <c r="I414" s="250">
        <v>3.1</v>
      </c>
      <c r="J414" s="149">
        <f t="shared" si="331"/>
        <v>3.1</v>
      </c>
      <c r="K414" s="151">
        <f>'LABOR SHEET'!C$5</f>
        <v>96.91</v>
      </c>
      <c r="L414" s="150">
        <f t="shared" si="332"/>
        <v>300.42099999999999</v>
      </c>
      <c r="M414" s="150">
        <f t="shared" si="333"/>
        <v>300.42099999999999</v>
      </c>
      <c r="N414" s="251">
        <v>2125</v>
      </c>
      <c r="O414" s="150">
        <f t="shared" si="334"/>
        <v>2125</v>
      </c>
      <c r="P414" s="150">
        <f t="shared" si="335"/>
        <v>2425.4209999999998</v>
      </c>
      <c r="Q414" s="104">
        <f t="shared" si="336"/>
        <v>2425.4209999999998</v>
      </c>
      <c r="R414" s="203"/>
      <c r="S414" s="203"/>
      <c r="T414" s="203"/>
      <c r="U414" s="203"/>
      <c r="V414" s="203"/>
      <c r="W414" s="203"/>
      <c r="X414" s="203"/>
      <c r="Y414" s="203"/>
      <c r="Z414" s="203"/>
      <c r="AA414" s="203"/>
      <c r="AB414" s="203"/>
      <c r="AC414" s="203"/>
      <c r="AD414" s="203"/>
      <c r="AE414" s="203"/>
      <c r="AF414" s="203"/>
      <c r="AG414" s="203"/>
      <c r="AH414" s="203"/>
      <c r="AI414" s="203"/>
      <c r="AJ414" s="203"/>
    </row>
    <row r="415" spans="1:36" s="32" customFormat="1" ht="31.2">
      <c r="A415" s="131">
        <f>IF(F415&lt;&gt;"",1+MAX($A$2:A414),"")</f>
        <v>305</v>
      </c>
      <c r="B415" s="358"/>
      <c r="C415" s="137"/>
      <c r="D415" s="167" t="s">
        <v>357</v>
      </c>
      <c r="E415" s="134">
        <v>1</v>
      </c>
      <c r="F415" s="176">
        <v>0</v>
      </c>
      <c r="G415" s="177">
        <f t="shared" si="337"/>
        <v>1</v>
      </c>
      <c r="H415" s="164" t="s">
        <v>81</v>
      </c>
      <c r="I415" s="250">
        <v>3.1</v>
      </c>
      <c r="J415" s="149">
        <f t="shared" si="331"/>
        <v>3.1</v>
      </c>
      <c r="K415" s="151">
        <f>'LABOR SHEET'!C$5</f>
        <v>96.91</v>
      </c>
      <c r="L415" s="150">
        <f t="shared" si="332"/>
        <v>300.42099999999999</v>
      </c>
      <c r="M415" s="150">
        <f t="shared" si="333"/>
        <v>300.42099999999999</v>
      </c>
      <c r="N415" s="251">
        <v>2125</v>
      </c>
      <c r="O415" s="150">
        <f t="shared" si="334"/>
        <v>2125</v>
      </c>
      <c r="P415" s="150">
        <f t="shared" si="335"/>
        <v>2425.4209999999998</v>
      </c>
      <c r="Q415" s="104">
        <f t="shared" si="336"/>
        <v>2425.4209999999998</v>
      </c>
      <c r="R415" s="203"/>
      <c r="S415" s="203"/>
      <c r="T415" s="203"/>
      <c r="U415" s="203"/>
      <c r="V415" s="203"/>
      <c r="W415" s="203"/>
      <c r="X415" s="203"/>
      <c r="Y415" s="203"/>
      <c r="Z415" s="203"/>
      <c r="AA415" s="203"/>
      <c r="AB415" s="203"/>
      <c r="AC415" s="203"/>
      <c r="AD415" s="203"/>
      <c r="AE415" s="203"/>
      <c r="AF415" s="203"/>
      <c r="AG415" s="203"/>
      <c r="AH415" s="203"/>
      <c r="AI415" s="203"/>
      <c r="AJ415" s="203"/>
    </row>
    <row r="416" spans="1:36" s="32" customFormat="1">
      <c r="A416" s="131" t="str">
        <f>IF(F416&lt;&gt;"",1+MAX($A$2:A415),"")</f>
        <v/>
      </c>
      <c r="B416" s="358"/>
      <c r="C416" s="137"/>
      <c r="D416" s="167"/>
      <c r="E416" s="134"/>
      <c r="F416" s="176"/>
      <c r="G416" s="177"/>
      <c r="H416" s="164"/>
      <c r="I416" s="250"/>
      <c r="J416" s="149"/>
      <c r="K416" s="151"/>
      <c r="L416" s="150"/>
      <c r="M416" s="150"/>
      <c r="N416" s="251"/>
      <c r="O416" s="150"/>
      <c r="P416" s="150"/>
      <c r="Q416" s="104"/>
      <c r="R416" s="203"/>
      <c r="S416" s="203"/>
      <c r="T416" s="203"/>
      <c r="U416" s="203"/>
      <c r="V416" s="203"/>
      <c r="W416" s="203"/>
      <c r="X416" s="203"/>
      <c r="Y416" s="203"/>
      <c r="Z416" s="203"/>
      <c r="AA416" s="203"/>
      <c r="AB416" s="203"/>
      <c r="AC416" s="203"/>
      <c r="AD416" s="203"/>
      <c r="AE416" s="203"/>
      <c r="AF416" s="203"/>
      <c r="AG416" s="203"/>
      <c r="AH416" s="203"/>
      <c r="AI416" s="203"/>
      <c r="AJ416" s="203"/>
    </row>
    <row r="417" spans="1:36" s="32" customFormat="1">
      <c r="A417" s="131" t="str">
        <f>IF(F417&lt;&gt;"",1+MAX($A$2:A416),"")</f>
        <v/>
      </c>
      <c r="B417" s="358"/>
      <c r="C417" s="134"/>
      <c r="D417" s="221" t="s">
        <v>358</v>
      </c>
      <c r="E417" s="164"/>
      <c r="F417" s="164"/>
      <c r="G417" s="164"/>
      <c r="H417" s="164"/>
      <c r="I417" s="258"/>
      <c r="J417" s="246"/>
      <c r="K417" s="247"/>
      <c r="L417" s="150"/>
      <c r="M417" s="150"/>
      <c r="N417" s="251"/>
      <c r="O417" s="150"/>
      <c r="P417" s="150"/>
      <c r="Q417" s="152"/>
      <c r="R417" s="203"/>
      <c r="S417" s="203"/>
      <c r="T417" s="203"/>
      <c r="U417" s="203"/>
      <c r="V417" s="203"/>
      <c r="W417" s="203"/>
      <c r="X417" s="203"/>
      <c r="Y417" s="203"/>
      <c r="Z417" s="203"/>
      <c r="AA417" s="203"/>
      <c r="AB417" s="203"/>
      <c r="AC417" s="203"/>
      <c r="AD417" s="203"/>
      <c r="AE417" s="203"/>
      <c r="AF417" s="203"/>
      <c r="AG417" s="203"/>
      <c r="AH417" s="203"/>
      <c r="AI417" s="203"/>
      <c r="AJ417" s="203"/>
    </row>
    <row r="418" spans="1:36" s="32" customFormat="1">
      <c r="A418" s="131">
        <f>IF(F418&lt;&gt;"",1+MAX($A$2:A417),"")</f>
        <v>306</v>
      </c>
      <c r="B418" s="358"/>
      <c r="C418" s="137"/>
      <c r="D418" s="167" t="s">
        <v>359</v>
      </c>
      <c r="E418" s="134">
        <v>35</v>
      </c>
      <c r="F418" s="176">
        <v>0</v>
      </c>
      <c r="G418" s="177">
        <f>E418*(1+F418)</f>
        <v>35</v>
      </c>
      <c r="H418" s="164" t="s">
        <v>81</v>
      </c>
      <c r="I418" s="250">
        <v>0.6</v>
      </c>
      <c r="J418" s="149">
        <f t="shared" ref="J418:J421" si="344">+I418*G418</f>
        <v>21</v>
      </c>
      <c r="K418" s="151">
        <f>'LABOR SHEET'!C$5</f>
        <v>96.91</v>
      </c>
      <c r="L418" s="150">
        <f t="shared" ref="L418:L421" si="345">I418*K418</f>
        <v>58.146000000000001</v>
      </c>
      <c r="M418" s="150">
        <f t="shared" ref="M418:M421" si="346">K418*J418</f>
        <v>2035.11</v>
      </c>
      <c r="N418" s="251">
        <v>32</v>
      </c>
      <c r="O418" s="150">
        <f t="shared" ref="O418:O421" si="347">N418*G418</f>
        <v>1120</v>
      </c>
      <c r="P418" s="150">
        <f t="shared" ref="P418:P421" si="348">(I418*K418)+N418</f>
        <v>90.146000000000001</v>
      </c>
      <c r="Q418" s="104">
        <f t="shared" ref="Q418:Q421" si="349">P418*G418</f>
        <v>3155.11</v>
      </c>
      <c r="R418" s="203"/>
      <c r="S418" s="203"/>
      <c r="T418" s="203"/>
      <c r="U418" s="203"/>
      <c r="V418" s="203"/>
      <c r="W418" s="203"/>
      <c r="X418" s="203"/>
      <c r="Y418" s="203"/>
      <c r="Z418" s="203"/>
      <c r="AA418" s="203"/>
      <c r="AB418" s="203"/>
      <c r="AC418" s="203"/>
      <c r="AD418" s="203"/>
      <c r="AE418" s="203"/>
      <c r="AF418" s="203"/>
      <c r="AG418" s="203"/>
      <c r="AH418" s="203"/>
      <c r="AI418" s="203"/>
      <c r="AJ418" s="203"/>
    </row>
    <row r="419" spans="1:36" s="32" customFormat="1">
      <c r="A419" s="131">
        <f>IF(F419&lt;&gt;"",1+MAX($A$2:A418),"")</f>
        <v>307</v>
      </c>
      <c r="B419" s="358"/>
      <c r="C419" s="137"/>
      <c r="D419" s="167" t="s">
        <v>360</v>
      </c>
      <c r="E419" s="134">
        <v>41</v>
      </c>
      <c r="F419" s="176">
        <v>0</v>
      </c>
      <c r="G419" s="177">
        <f>E419*(1+F419)</f>
        <v>41</v>
      </c>
      <c r="H419" s="164" t="s">
        <v>81</v>
      </c>
      <c r="I419" s="250">
        <v>0.68</v>
      </c>
      <c r="J419" s="149">
        <f t="shared" si="344"/>
        <v>27.88</v>
      </c>
      <c r="K419" s="151">
        <f>'LABOR SHEET'!C$5</f>
        <v>96.91</v>
      </c>
      <c r="L419" s="150">
        <f t="shared" si="345"/>
        <v>65.898799999999994</v>
      </c>
      <c r="M419" s="150">
        <f t="shared" si="346"/>
        <v>2701.8508000000002</v>
      </c>
      <c r="N419" s="251">
        <v>44</v>
      </c>
      <c r="O419" s="150">
        <f t="shared" si="347"/>
        <v>1804</v>
      </c>
      <c r="P419" s="150">
        <f t="shared" si="348"/>
        <v>109.89879999999999</v>
      </c>
      <c r="Q419" s="104">
        <f t="shared" si="349"/>
        <v>4505.8508000000002</v>
      </c>
      <c r="R419" s="203"/>
      <c r="S419" s="203"/>
      <c r="T419" s="203"/>
      <c r="U419" s="203"/>
      <c r="V419" s="203"/>
      <c r="W419" s="203"/>
      <c r="X419" s="203"/>
      <c r="Y419" s="203"/>
      <c r="Z419" s="203"/>
      <c r="AA419" s="203"/>
      <c r="AB419" s="203"/>
      <c r="AC419" s="203"/>
      <c r="AD419" s="203"/>
      <c r="AE419" s="203"/>
      <c r="AF419" s="203"/>
      <c r="AG419" s="203"/>
      <c r="AH419" s="203"/>
      <c r="AI419" s="203"/>
      <c r="AJ419" s="203"/>
    </row>
    <row r="420" spans="1:36" s="32" customFormat="1">
      <c r="A420" s="131">
        <f>IF(F420&lt;&gt;"",1+MAX($A$2:A419),"")</f>
        <v>308</v>
      </c>
      <c r="B420" s="358"/>
      <c r="C420" s="137"/>
      <c r="D420" s="167" t="s">
        <v>361</v>
      </c>
      <c r="E420" s="134">
        <v>30</v>
      </c>
      <c r="F420" s="176">
        <v>0</v>
      </c>
      <c r="G420" s="177">
        <f t="shared" ref="G420:G429" si="350">E420*(1+F420)</f>
        <v>30</v>
      </c>
      <c r="H420" s="164" t="s">
        <v>81</v>
      </c>
      <c r="I420" s="250">
        <v>0.7</v>
      </c>
      <c r="J420" s="149">
        <f t="shared" si="344"/>
        <v>21</v>
      </c>
      <c r="K420" s="151">
        <f>'LABOR SHEET'!C$5</f>
        <v>96.91</v>
      </c>
      <c r="L420" s="150">
        <f t="shared" si="345"/>
        <v>67.837000000000003</v>
      </c>
      <c r="M420" s="150">
        <f t="shared" si="346"/>
        <v>2035.11</v>
      </c>
      <c r="N420" s="251">
        <v>58</v>
      </c>
      <c r="O420" s="150">
        <f t="shared" si="347"/>
        <v>1740</v>
      </c>
      <c r="P420" s="150">
        <f t="shared" si="348"/>
        <v>125.837</v>
      </c>
      <c r="Q420" s="104">
        <f t="shared" si="349"/>
        <v>3775.11</v>
      </c>
      <c r="R420" s="203"/>
      <c r="S420" s="203"/>
      <c r="T420" s="203"/>
      <c r="U420" s="203"/>
      <c r="V420" s="203"/>
      <c r="W420" s="203"/>
      <c r="X420" s="203"/>
      <c r="Y420" s="203"/>
      <c r="Z420" s="203"/>
      <c r="AA420" s="203"/>
      <c r="AB420" s="203"/>
      <c r="AC420" s="203"/>
      <c r="AD420" s="203"/>
      <c r="AE420" s="203"/>
      <c r="AF420" s="203"/>
      <c r="AG420" s="203"/>
      <c r="AH420" s="203"/>
      <c r="AI420" s="203"/>
      <c r="AJ420" s="203"/>
    </row>
    <row r="421" spans="1:36" s="32" customFormat="1">
      <c r="A421" s="131">
        <f>IF(F421&lt;&gt;"",1+MAX($A$2:A420),"")</f>
        <v>309</v>
      </c>
      <c r="B421" s="358"/>
      <c r="C421" s="137"/>
      <c r="D421" s="167" t="s">
        <v>362</v>
      </c>
      <c r="E421" s="134">
        <v>44</v>
      </c>
      <c r="F421" s="176">
        <v>0</v>
      </c>
      <c r="G421" s="177">
        <f t="shared" si="350"/>
        <v>44</v>
      </c>
      <c r="H421" s="164" t="s">
        <v>81</v>
      </c>
      <c r="I421" s="250">
        <v>0.65</v>
      </c>
      <c r="J421" s="149">
        <f t="shared" si="344"/>
        <v>28.6</v>
      </c>
      <c r="K421" s="151">
        <f>'LABOR SHEET'!C$5</f>
        <v>96.91</v>
      </c>
      <c r="L421" s="150">
        <f t="shared" si="345"/>
        <v>62.991500000000002</v>
      </c>
      <c r="M421" s="150">
        <f t="shared" si="346"/>
        <v>2771.6260000000002</v>
      </c>
      <c r="N421" s="251">
        <v>55</v>
      </c>
      <c r="O421" s="150">
        <f t="shared" si="347"/>
        <v>2420</v>
      </c>
      <c r="P421" s="150">
        <f t="shared" si="348"/>
        <v>117.9915</v>
      </c>
      <c r="Q421" s="104">
        <f t="shared" si="349"/>
        <v>5191.6260000000002</v>
      </c>
      <c r="R421" s="203"/>
      <c r="S421" s="203"/>
      <c r="T421" s="203"/>
      <c r="U421" s="203"/>
      <c r="V421" s="203"/>
      <c r="W421" s="203"/>
      <c r="X421" s="203"/>
      <c r="Y421" s="203"/>
      <c r="Z421" s="203"/>
      <c r="AA421" s="203"/>
      <c r="AB421" s="203"/>
      <c r="AC421" s="203"/>
      <c r="AD421" s="203"/>
      <c r="AE421" s="203"/>
      <c r="AF421" s="203"/>
      <c r="AG421" s="203"/>
      <c r="AH421" s="203"/>
      <c r="AI421" s="203"/>
      <c r="AJ421" s="203"/>
    </row>
    <row r="422" spans="1:36" s="32" customFormat="1">
      <c r="A422" s="131" t="str">
        <f>IF(F422&lt;&gt;"",1+MAX($A$2:A421),"")</f>
        <v/>
      </c>
      <c r="B422" s="358"/>
      <c r="C422" s="137"/>
      <c r="D422" s="167"/>
      <c r="E422" s="134"/>
      <c r="F422" s="176"/>
      <c r="G422" s="177"/>
      <c r="H422" s="164"/>
      <c r="I422" s="250"/>
      <c r="J422" s="149"/>
      <c r="K422" s="151"/>
      <c r="L422" s="150"/>
      <c r="M422" s="150"/>
      <c r="N422" s="251"/>
      <c r="O422" s="150"/>
      <c r="P422" s="150"/>
      <c r="Q422" s="104"/>
      <c r="R422" s="203"/>
      <c r="S422" s="203"/>
      <c r="T422" s="203"/>
      <c r="U422" s="203"/>
      <c r="V422" s="203"/>
      <c r="W422" s="203"/>
      <c r="X422" s="203"/>
      <c r="Y422" s="203"/>
      <c r="Z422" s="203"/>
      <c r="AA422" s="203"/>
      <c r="AB422" s="203"/>
      <c r="AC422" s="203"/>
      <c r="AD422" s="203"/>
      <c r="AE422" s="203"/>
      <c r="AF422" s="203"/>
      <c r="AG422" s="203"/>
      <c r="AH422" s="203"/>
      <c r="AI422" s="203"/>
      <c r="AJ422" s="203"/>
    </row>
    <row r="423" spans="1:36" s="32" customFormat="1">
      <c r="A423" s="131" t="str">
        <f>IF(F423&lt;&gt;"",1+MAX($A$2:A422),"")</f>
        <v/>
      </c>
      <c r="B423" s="358"/>
      <c r="C423" s="134"/>
      <c r="D423" s="221" t="s">
        <v>363</v>
      </c>
      <c r="E423" s="164"/>
      <c r="F423" s="164"/>
      <c r="G423" s="164"/>
      <c r="H423" s="164"/>
      <c r="I423" s="258"/>
      <c r="J423" s="246"/>
      <c r="K423" s="247"/>
      <c r="L423" s="150"/>
      <c r="M423" s="150"/>
      <c r="N423" s="251"/>
      <c r="O423" s="150"/>
      <c r="P423" s="150"/>
      <c r="Q423" s="152"/>
      <c r="R423" s="203"/>
      <c r="S423" s="203"/>
      <c r="T423" s="203"/>
      <c r="U423" s="203"/>
      <c r="V423" s="203"/>
      <c r="W423" s="203"/>
      <c r="X423" s="203"/>
      <c r="Y423" s="203"/>
      <c r="Z423" s="203"/>
      <c r="AA423" s="203"/>
      <c r="AB423" s="203"/>
      <c r="AC423" s="203"/>
      <c r="AD423" s="203"/>
      <c r="AE423" s="203"/>
      <c r="AF423" s="203"/>
      <c r="AG423" s="203"/>
      <c r="AH423" s="203"/>
      <c r="AI423" s="203"/>
      <c r="AJ423" s="203"/>
    </row>
    <row r="424" spans="1:36" s="32" customFormat="1">
      <c r="A424" s="131">
        <f>IF(F424&lt;&gt;"",1+MAX($A$2:A423),"")</f>
        <v>310</v>
      </c>
      <c r="B424" s="358"/>
      <c r="C424" s="137"/>
      <c r="D424" s="167" t="s">
        <v>364</v>
      </c>
      <c r="E424" s="134">
        <v>8.77</v>
      </c>
      <c r="F424" s="176">
        <v>0.05</v>
      </c>
      <c r="G424" s="177">
        <f t="shared" si="350"/>
        <v>9.2085000000000008</v>
      </c>
      <c r="H424" s="164" t="s">
        <v>71</v>
      </c>
      <c r="I424" s="250">
        <v>0.20399999999999999</v>
      </c>
      <c r="J424" s="149">
        <f t="shared" ref="J424:J429" si="351">+I424*G424</f>
        <v>1.8785339999999999</v>
      </c>
      <c r="K424" s="151">
        <f>'LABOR SHEET'!C$5</f>
        <v>96.91</v>
      </c>
      <c r="L424" s="150">
        <f t="shared" ref="L424:L429" si="352">I424*K424</f>
        <v>19.769639999999999</v>
      </c>
      <c r="M424" s="150">
        <f t="shared" ref="M424:M429" si="353">K424*J424</f>
        <v>182.04872993999999</v>
      </c>
      <c r="N424" s="251">
        <v>4.3</v>
      </c>
      <c r="O424" s="150">
        <f t="shared" ref="O424:O429" si="354">N424*G424</f>
        <v>39.596550000000001</v>
      </c>
      <c r="P424" s="150">
        <f t="shared" ref="P424:P429" si="355">(I424*K424)+N424</f>
        <v>24.06964</v>
      </c>
      <c r="Q424" s="104">
        <f t="shared" ref="Q424:Q429" si="356">P424*G424</f>
        <v>221.64527993999999</v>
      </c>
      <c r="R424" s="203"/>
      <c r="S424" s="203"/>
      <c r="T424" s="203"/>
      <c r="U424" s="203"/>
      <c r="V424" s="203"/>
      <c r="W424" s="203"/>
      <c r="X424" s="203"/>
      <c r="Y424" s="203"/>
      <c r="Z424" s="203"/>
      <c r="AA424" s="203"/>
      <c r="AB424" s="203"/>
      <c r="AC424" s="203"/>
      <c r="AD424" s="203"/>
      <c r="AE424" s="203"/>
      <c r="AF424" s="203"/>
      <c r="AG424" s="203"/>
      <c r="AH424" s="203"/>
      <c r="AI424" s="203"/>
      <c r="AJ424" s="203"/>
    </row>
    <row r="425" spans="1:36" s="32" customFormat="1">
      <c r="A425" s="131">
        <f>IF(F425&lt;&gt;"",1+MAX($A$2:A424),"")</f>
        <v>311</v>
      </c>
      <c r="B425" s="358"/>
      <c r="C425" s="137"/>
      <c r="D425" s="167" t="s">
        <v>365</v>
      </c>
      <c r="E425" s="134">
        <v>287.95</v>
      </c>
      <c r="F425" s="176">
        <v>0.05</v>
      </c>
      <c r="G425" s="177">
        <f t="shared" si="350"/>
        <v>302.34750000000003</v>
      </c>
      <c r="H425" s="164" t="s">
        <v>71</v>
      </c>
      <c r="I425" s="250">
        <v>0.23499999999999999</v>
      </c>
      <c r="J425" s="149">
        <f t="shared" si="351"/>
        <v>71.051662500000006</v>
      </c>
      <c r="K425" s="151">
        <f>'LABOR SHEET'!C$5</f>
        <v>96.91</v>
      </c>
      <c r="L425" s="150">
        <f t="shared" si="352"/>
        <v>22.773849999999999</v>
      </c>
      <c r="M425" s="150">
        <f t="shared" si="353"/>
        <v>6885.6166128750001</v>
      </c>
      <c r="N425" s="251">
        <v>5.66</v>
      </c>
      <c r="O425" s="150">
        <f t="shared" si="354"/>
        <v>1711.28685</v>
      </c>
      <c r="P425" s="150">
        <f t="shared" si="355"/>
        <v>28.43385</v>
      </c>
      <c r="Q425" s="104">
        <f t="shared" si="356"/>
        <v>8596.9034628749996</v>
      </c>
      <c r="R425" s="203"/>
      <c r="S425" s="203"/>
      <c r="T425" s="203"/>
      <c r="U425" s="203"/>
      <c r="V425" s="203"/>
      <c r="W425" s="203"/>
      <c r="X425" s="203"/>
      <c r="Y425" s="203"/>
      <c r="Z425" s="203"/>
      <c r="AA425" s="203"/>
      <c r="AB425" s="203"/>
      <c r="AC425" s="203"/>
      <c r="AD425" s="203"/>
      <c r="AE425" s="203"/>
      <c r="AF425" s="203"/>
      <c r="AG425" s="203"/>
      <c r="AH425" s="203"/>
      <c r="AI425" s="203"/>
      <c r="AJ425" s="203"/>
    </row>
    <row r="426" spans="1:36" s="32" customFormat="1">
      <c r="A426" s="131">
        <f>IF(F426&lt;&gt;"",1+MAX($A$2:A425),"")</f>
        <v>312</v>
      </c>
      <c r="B426" s="358"/>
      <c r="C426" s="137"/>
      <c r="D426" s="167" t="s">
        <v>366</v>
      </c>
      <c r="E426" s="134">
        <v>63.43</v>
      </c>
      <c r="F426" s="176">
        <v>0.05</v>
      </c>
      <c r="G426" s="177">
        <f t="shared" si="350"/>
        <v>66.601500000000001</v>
      </c>
      <c r="H426" s="164" t="s">
        <v>71</v>
      </c>
      <c r="I426" s="250">
        <v>0.25</v>
      </c>
      <c r="J426" s="149">
        <f t="shared" si="351"/>
        <v>16.650375</v>
      </c>
      <c r="K426" s="151">
        <f>'LABOR SHEET'!C$5</f>
        <v>96.91</v>
      </c>
      <c r="L426" s="150">
        <f t="shared" si="352"/>
        <v>24.227499999999999</v>
      </c>
      <c r="M426" s="150">
        <f t="shared" si="353"/>
        <v>1613.5878412500001</v>
      </c>
      <c r="N426" s="251">
        <v>6.5</v>
      </c>
      <c r="O426" s="150">
        <f t="shared" si="354"/>
        <v>432.90974999999997</v>
      </c>
      <c r="P426" s="150">
        <f t="shared" si="355"/>
        <v>30.727499999999999</v>
      </c>
      <c r="Q426" s="104">
        <f t="shared" si="356"/>
        <v>2046.4975912499999</v>
      </c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3"/>
      <c r="AD426" s="203"/>
      <c r="AE426" s="203"/>
      <c r="AF426" s="203"/>
      <c r="AG426" s="203"/>
      <c r="AH426" s="203"/>
      <c r="AI426" s="203"/>
      <c r="AJ426" s="203"/>
    </row>
    <row r="427" spans="1:36" s="32" customFormat="1">
      <c r="A427" s="131">
        <f>IF(F427&lt;&gt;"",1+MAX($A$2:A426),"")</f>
        <v>313</v>
      </c>
      <c r="B427" s="358"/>
      <c r="C427" s="137"/>
      <c r="D427" s="167" t="s">
        <v>367</v>
      </c>
      <c r="E427" s="134">
        <v>303.94</v>
      </c>
      <c r="F427" s="176">
        <v>0.05</v>
      </c>
      <c r="G427" s="177">
        <f t="shared" si="350"/>
        <v>319.137</v>
      </c>
      <c r="H427" s="164" t="s">
        <v>71</v>
      </c>
      <c r="I427" s="250">
        <v>0.26200000000000001</v>
      </c>
      <c r="J427" s="149">
        <f t="shared" si="351"/>
        <v>83.613894000000002</v>
      </c>
      <c r="K427" s="151">
        <f>'LABOR SHEET'!C$5</f>
        <v>96.91</v>
      </c>
      <c r="L427" s="150">
        <f t="shared" si="352"/>
        <v>25.390419999999999</v>
      </c>
      <c r="M427" s="150">
        <f t="shared" si="353"/>
        <v>8103.0224675400004</v>
      </c>
      <c r="N427" s="251">
        <v>7.9</v>
      </c>
      <c r="O427" s="150">
        <f t="shared" si="354"/>
        <v>2521.1822999999999</v>
      </c>
      <c r="P427" s="150">
        <f t="shared" si="355"/>
        <v>33.290419999999997</v>
      </c>
      <c r="Q427" s="104">
        <f t="shared" si="356"/>
        <v>10624.204767540001</v>
      </c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3"/>
      <c r="AD427" s="203"/>
      <c r="AE427" s="203"/>
      <c r="AF427" s="203"/>
      <c r="AG427" s="203"/>
      <c r="AH427" s="203"/>
      <c r="AI427" s="203"/>
      <c r="AJ427" s="203"/>
    </row>
    <row r="428" spans="1:36" s="32" customFormat="1">
      <c r="A428" s="131">
        <f>IF(F428&lt;&gt;"",1+MAX($A$2:A427),"")</f>
        <v>314</v>
      </c>
      <c r="B428" s="358"/>
      <c r="C428" s="137"/>
      <c r="D428" s="167" t="s">
        <v>368</v>
      </c>
      <c r="E428" s="134">
        <v>264.19</v>
      </c>
      <c r="F428" s="176">
        <v>0.05</v>
      </c>
      <c r="G428" s="177">
        <f t="shared" si="350"/>
        <v>277.39949999999999</v>
      </c>
      <c r="H428" s="164" t="s">
        <v>71</v>
      </c>
      <c r="I428" s="250">
        <v>0.29099999999999998</v>
      </c>
      <c r="J428" s="149">
        <f t="shared" si="351"/>
        <v>80.723254499999996</v>
      </c>
      <c r="K428" s="151">
        <f>'LABOR SHEET'!C$5</f>
        <v>96.91</v>
      </c>
      <c r="L428" s="150">
        <f t="shared" si="352"/>
        <v>28.200810000000001</v>
      </c>
      <c r="M428" s="150">
        <f t="shared" si="353"/>
        <v>7822.8905935949997</v>
      </c>
      <c r="N428" s="251">
        <v>11.04</v>
      </c>
      <c r="O428" s="150">
        <f t="shared" si="354"/>
        <v>3062.4904799999999</v>
      </c>
      <c r="P428" s="150">
        <f t="shared" si="355"/>
        <v>39.240810000000003</v>
      </c>
      <c r="Q428" s="104">
        <f t="shared" si="356"/>
        <v>10885.381073594999</v>
      </c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3"/>
      <c r="AD428" s="203"/>
      <c r="AE428" s="203"/>
      <c r="AF428" s="203"/>
      <c r="AG428" s="203"/>
      <c r="AH428" s="203"/>
      <c r="AI428" s="203"/>
      <c r="AJ428" s="203"/>
    </row>
    <row r="429" spans="1:36" s="32" customFormat="1">
      <c r="A429" s="131">
        <f>IF(F429&lt;&gt;"",1+MAX($A$2:A428),"")</f>
        <v>315</v>
      </c>
      <c r="B429" s="358"/>
      <c r="C429" s="137"/>
      <c r="D429" s="167" t="s">
        <v>369</v>
      </c>
      <c r="E429" s="134">
        <v>58.03</v>
      </c>
      <c r="F429" s="176">
        <v>0.05</v>
      </c>
      <c r="G429" s="177">
        <f t="shared" si="350"/>
        <v>60.9315</v>
      </c>
      <c r="H429" s="164" t="s">
        <v>71</v>
      </c>
      <c r="I429" s="250">
        <v>0.31</v>
      </c>
      <c r="J429" s="149">
        <f t="shared" si="351"/>
        <v>18.888764999999999</v>
      </c>
      <c r="K429" s="151">
        <f>'LABOR SHEET'!C$5</f>
        <v>96.91</v>
      </c>
      <c r="L429" s="150">
        <f t="shared" si="352"/>
        <v>30.042100000000001</v>
      </c>
      <c r="M429" s="150">
        <f t="shared" si="353"/>
        <v>1830.5102161499999</v>
      </c>
      <c r="N429" s="251">
        <v>13.35</v>
      </c>
      <c r="O429" s="150">
        <f t="shared" si="354"/>
        <v>813.43552499999998</v>
      </c>
      <c r="P429" s="150">
        <f t="shared" si="355"/>
        <v>43.392099999999999</v>
      </c>
      <c r="Q429" s="104">
        <f t="shared" si="356"/>
        <v>2643.9457411499998</v>
      </c>
      <c r="R429" s="203"/>
      <c r="S429" s="203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3"/>
      <c r="AD429" s="203"/>
      <c r="AE429" s="203"/>
      <c r="AF429" s="203"/>
      <c r="AG429" s="203"/>
      <c r="AH429" s="203"/>
      <c r="AI429" s="203"/>
      <c r="AJ429" s="203"/>
    </row>
    <row r="430" spans="1:36" s="32" customFormat="1">
      <c r="A430" s="131" t="str">
        <f>IF(F430&lt;&gt;"",1+MAX($A$2:A429),"")</f>
        <v/>
      </c>
      <c r="B430" s="358"/>
      <c r="C430" s="137"/>
      <c r="D430" s="167"/>
      <c r="E430" s="134"/>
      <c r="F430" s="176"/>
      <c r="G430" s="177"/>
      <c r="H430" s="164"/>
      <c r="I430" s="250"/>
      <c r="J430" s="149"/>
      <c r="K430" s="151"/>
      <c r="L430" s="150"/>
      <c r="M430" s="150"/>
      <c r="N430" s="251"/>
      <c r="O430" s="150"/>
      <c r="P430" s="150"/>
      <c r="Q430" s="104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3"/>
      <c r="AD430" s="203"/>
      <c r="AE430" s="203"/>
      <c r="AF430" s="203"/>
      <c r="AG430" s="203"/>
      <c r="AH430" s="203"/>
      <c r="AI430" s="203"/>
      <c r="AJ430" s="203"/>
    </row>
    <row r="431" spans="1:36" s="32" customFormat="1">
      <c r="A431" s="131" t="str">
        <f>IF(F431&lt;&gt;"",1+MAX($A$2:A430),"")</f>
        <v/>
      </c>
      <c r="B431" s="358"/>
      <c r="C431" s="134"/>
      <c r="D431" s="221" t="s">
        <v>370</v>
      </c>
      <c r="E431" s="164"/>
      <c r="F431" s="164"/>
      <c r="G431" s="164"/>
      <c r="H431" s="164"/>
      <c r="I431" s="258"/>
      <c r="J431" s="246"/>
      <c r="K431" s="247"/>
      <c r="L431" s="150"/>
      <c r="M431" s="150"/>
      <c r="N431" s="251"/>
      <c r="O431" s="150"/>
      <c r="P431" s="150"/>
      <c r="Q431" s="152"/>
      <c r="R431" s="203"/>
      <c r="S431" s="203"/>
      <c r="T431" s="203"/>
      <c r="U431" s="203"/>
      <c r="V431" s="203"/>
      <c r="W431" s="203"/>
      <c r="X431" s="203"/>
      <c r="Y431" s="203"/>
      <c r="Z431" s="203"/>
      <c r="AA431" s="203"/>
      <c r="AB431" s="203"/>
      <c r="AC431" s="203"/>
      <c r="AD431" s="203"/>
      <c r="AE431" s="203"/>
      <c r="AF431" s="203"/>
      <c r="AG431" s="203"/>
      <c r="AH431" s="203"/>
      <c r="AI431" s="203"/>
      <c r="AJ431" s="203"/>
    </row>
    <row r="432" spans="1:36" s="32" customFormat="1">
      <c r="A432" s="131">
        <f>IF(F432&lt;&gt;"",1+MAX($A$2:A431),"")</f>
        <v>316</v>
      </c>
      <c r="B432" s="358"/>
      <c r="C432" s="137"/>
      <c r="D432" s="167" t="s">
        <v>371</v>
      </c>
      <c r="E432" s="134">
        <v>52.32</v>
      </c>
      <c r="F432" s="176">
        <v>0.05</v>
      </c>
      <c r="G432" s="177">
        <f t="shared" ref="G432:G443" si="357">E432*(1+F432)</f>
        <v>54.936</v>
      </c>
      <c r="H432" s="164" t="s">
        <v>71</v>
      </c>
      <c r="I432" s="250">
        <f>0.02*(12+12)*2</f>
        <v>0.96</v>
      </c>
      <c r="J432" s="149">
        <f t="shared" ref="J432:J443" si="358">+I432*G432</f>
        <v>52.73856</v>
      </c>
      <c r="K432" s="151">
        <f>'LABOR SHEET'!C$5</f>
        <v>96.91</v>
      </c>
      <c r="L432" s="150">
        <f t="shared" ref="L432:L443" si="359">I432*K432</f>
        <v>93.033600000000007</v>
      </c>
      <c r="M432" s="150">
        <f t="shared" ref="M432:M443" si="360">K432*J432</f>
        <v>5110.8938496000001</v>
      </c>
      <c r="N432" s="251">
        <f>0.167*(12*12)</f>
        <v>24.047999999999998</v>
      </c>
      <c r="O432" s="150">
        <f t="shared" ref="O432:O443" si="361">N432*G432</f>
        <v>1321.1009280000001</v>
      </c>
      <c r="P432" s="150">
        <f t="shared" ref="P432:P443" si="362">(I432*K432)+N432</f>
        <v>117.08159999999999</v>
      </c>
      <c r="Q432" s="104">
        <f t="shared" ref="Q432:Q443" si="363">P432*G432</f>
        <v>6431.9947775999999</v>
      </c>
      <c r="R432" s="203"/>
      <c r="S432" s="203"/>
      <c r="T432" s="203"/>
      <c r="U432" s="203"/>
      <c r="V432" s="203"/>
      <c r="W432" s="203"/>
      <c r="X432" s="203"/>
      <c r="Y432" s="203"/>
      <c r="Z432" s="203"/>
      <c r="AA432" s="203"/>
      <c r="AB432" s="203"/>
      <c r="AC432" s="203"/>
      <c r="AD432" s="203"/>
      <c r="AE432" s="203"/>
      <c r="AF432" s="203"/>
      <c r="AG432" s="203"/>
      <c r="AH432" s="203"/>
      <c r="AI432" s="203"/>
      <c r="AJ432" s="203"/>
    </row>
    <row r="433" spans="1:36" s="32" customFormat="1">
      <c r="A433" s="131">
        <f>IF(F433&lt;&gt;"",1+MAX($A$2:A432),"")</f>
        <v>317</v>
      </c>
      <c r="B433" s="358"/>
      <c r="C433" s="137"/>
      <c r="D433" s="167" t="s">
        <v>372</v>
      </c>
      <c r="E433" s="134">
        <v>19.73</v>
      </c>
      <c r="F433" s="176">
        <v>0.05</v>
      </c>
      <c r="G433" s="177">
        <f t="shared" si="357"/>
        <v>20.7165</v>
      </c>
      <c r="H433" s="164" t="s">
        <v>71</v>
      </c>
      <c r="I433" s="250">
        <f>0.02*(8+8)*2</f>
        <v>0.64</v>
      </c>
      <c r="J433" s="149">
        <f t="shared" si="358"/>
        <v>13.258559999999999</v>
      </c>
      <c r="K433" s="151">
        <f>'LABOR SHEET'!C$5</f>
        <v>96.91</v>
      </c>
      <c r="L433" s="150">
        <f t="shared" si="359"/>
        <v>62.022399999999998</v>
      </c>
      <c r="M433" s="150">
        <f t="shared" si="360"/>
        <v>1284.8870496</v>
      </c>
      <c r="N433" s="251">
        <f>0.167*(8*8)</f>
        <v>10.688000000000001</v>
      </c>
      <c r="O433" s="150">
        <f t="shared" si="361"/>
        <v>221.41795200000001</v>
      </c>
      <c r="P433" s="150">
        <f t="shared" si="362"/>
        <v>72.710400000000007</v>
      </c>
      <c r="Q433" s="104">
        <f t="shared" si="363"/>
        <v>1506.3050016</v>
      </c>
      <c r="R433" s="203"/>
      <c r="S433" s="203"/>
      <c r="T433" s="203"/>
      <c r="U433" s="203"/>
      <c r="V433" s="203"/>
      <c r="W433" s="203"/>
      <c r="X433" s="203"/>
      <c r="Y433" s="203"/>
      <c r="Z433" s="203"/>
      <c r="AA433" s="203"/>
      <c r="AB433" s="203"/>
      <c r="AC433" s="203"/>
      <c r="AD433" s="203"/>
      <c r="AE433" s="203"/>
      <c r="AF433" s="203"/>
      <c r="AG433" s="203"/>
      <c r="AH433" s="203"/>
      <c r="AI433" s="203"/>
      <c r="AJ433" s="203"/>
    </row>
    <row r="434" spans="1:36" s="32" customFormat="1">
      <c r="A434" s="131">
        <f>IF(F434&lt;&gt;"",1+MAX($A$2:A433),"")</f>
        <v>318</v>
      </c>
      <c r="B434" s="358"/>
      <c r="C434" s="137"/>
      <c r="D434" s="167" t="s">
        <v>373</v>
      </c>
      <c r="E434" s="134">
        <v>24.67</v>
      </c>
      <c r="F434" s="176">
        <v>0.05</v>
      </c>
      <c r="G434" s="177">
        <f t="shared" si="357"/>
        <v>25.903500000000001</v>
      </c>
      <c r="H434" s="164" t="s">
        <v>71</v>
      </c>
      <c r="I434" s="250">
        <f>0.02*(12+8)*2</f>
        <v>0.8</v>
      </c>
      <c r="J434" s="149">
        <f t="shared" si="358"/>
        <v>20.722799999999999</v>
      </c>
      <c r="K434" s="151">
        <f>'LABOR SHEET'!C$5</f>
        <v>96.91</v>
      </c>
      <c r="L434" s="150">
        <f t="shared" si="359"/>
        <v>77.528000000000006</v>
      </c>
      <c r="M434" s="150">
        <f t="shared" si="360"/>
        <v>2008.2465480000001</v>
      </c>
      <c r="N434" s="251">
        <f>0.167*(12*8)</f>
        <v>16.032</v>
      </c>
      <c r="O434" s="150">
        <f t="shared" si="361"/>
        <v>415.28491200000002</v>
      </c>
      <c r="P434" s="150">
        <f t="shared" si="362"/>
        <v>93.56</v>
      </c>
      <c r="Q434" s="104">
        <f t="shared" si="363"/>
        <v>2423.5314600000002</v>
      </c>
      <c r="R434" s="203"/>
      <c r="S434" s="203"/>
      <c r="T434" s="203"/>
      <c r="U434" s="203"/>
      <c r="V434" s="203"/>
      <c r="W434" s="203"/>
      <c r="X434" s="203"/>
      <c r="Y434" s="203"/>
      <c r="Z434" s="203"/>
      <c r="AA434" s="203"/>
      <c r="AB434" s="203"/>
      <c r="AC434" s="203"/>
      <c r="AD434" s="203"/>
      <c r="AE434" s="203"/>
      <c r="AF434" s="203"/>
      <c r="AG434" s="203"/>
      <c r="AH434" s="203"/>
      <c r="AI434" s="203"/>
      <c r="AJ434" s="203"/>
    </row>
    <row r="435" spans="1:36" s="32" customFormat="1">
      <c r="A435" s="131">
        <f>IF(F435&lt;&gt;"",1+MAX($A$2:A434),"")</f>
        <v>319</v>
      </c>
      <c r="B435" s="358"/>
      <c r="C435" s="137"/>
      <c r="D435" s="167" t="s">
        <v>374</v>
      </c>
      <c r="E435" s="134">
        <v>4.28</v>
      </c>
      <c r="F435" s="176">
        <v>0.05</v>
      </c>
      <c r="G435" s="177">
        <f t="shared" si="357"/>
        <v>4.4939999999999998</v>
      </c>
      <c r="H435" s="164" t="s">
        <v>71</v>
      </c>
      <c r="I435" s="250">
        <f>0.02*(12+14)*2</f>
        <v>1.04</v>
      </c>
      <c r="J435" s="149">
        <f t="shared" si="358"/>
        <v>4.6737599999999997</v>
      </c>
      <c r="K435" s="151">
        <f>'LABOR SHEET'!C$5</f>
        <v>96.91</v>
      </c>
      <c r="L435" s="150">
        <f t="shared" si="359"/>
        <v>100.7864</v>
      </c>
      <c r="M435" s="150">
        <f t="shared" si="360"/>
        <v>452.93408160000001</v>
      </c>
      <c r="N435" s="251">
        <f>0.167*(12*14)</f>
        <v>28.056000000000001</v>
      </c>
      <c r="O435" s="150">
        <f t="shared" si="361"/>
        <v>126.083664</v>
      </c>
      <c r="P435" s="150">
        <f t="shared" si="362"/>
        <v>128.8424</v>
      </c>
      <c r="Q435" s="104">
        <f t="shared" si="363"/>
        <v>579.01774560000001</v>
      </c>
      <c r="R435" s="203"/>
      <c r="S435" s="203"/>
      <c r="T435" s="203"/>
      <c r="U435" s="203"/>
      <c r="V435" s="203"/>
      <c r="W435" s="203"/>
      <c r="X435" s="203"/>
      <c r="Y435" s="203"/>
      <c r="Z435" s="203"/>
      <c r="AA435" s="203"/>
      <c r="AB435" s="203"/>
      <c r="AC435" s="203"/>
      <c r="AD435" s="203"/>
      <c r="AE435" s="203"/>
      <c r="AF435" s="203"/>
      <c r="AG435" s="203"/>
      <c r="AH435" s="203"/>
      <c r="AI435" s="203"/>
      <c r="AJ435" s="203"/>
    </row>
    <row r="436" spans="1:36" s="32" customFormat="1">
      <c r="A436" s="131">
        <f>IF(F436&lt;&gt;"",1+MAX($A$2:A435),"")</f>
        <v>320</v>
      </c>
      <c r="B436" s="358"/>
      <c r="C436" s="137"/>
      <c r="D436" s="167" t="s">
        <v>375</v>
      </c>
      <c r="E436" s="134">
        <v>17.25</v>
      </c>
      <c r="F436" s="176">
        <v>0.05</v>
      </c>
      <c r="G436" s="177">
        <f t="shared" si="357"/>
        <v>18.112500000000001</v>
      </c>
      <c r="H436" s="164" t="s">
        <v>71</v>
      </c>
      <c r="I436" s="250">
        <f>0.02*(16+6)*2</f>
        <v>0.88</v>
      </c>
      <c r="J436" s="149">
        <f t="shared" si="358"/>
        <v>15.939</v>
      </c>
      <c r="K436" s="151">
        <f>'LABOR SHEET'!C$5</f>
        <v>96.91</v>
      </c>
      <c r="L436" s="150">
        <f t="shared" si="359"/>
        <v>85.280799999999999</v>
      </c>
      <c r="M436" s="150">
        <f t="shared" si="360"/>
        <v>1544.64849</v>
      </c>
      <c r="N436" s="251">
        <f>0.167*(16*6)</f>
        <v>16.032</v>
      </c>
      <c r="O436" s="150">
        <f t="shared" si="361"/>
        <v>290.37959999999998</v>
      </c>
      <c r="P436" s="150">
        <f t="shared" si="362"/>
        <v>101.3128</v>
      </c>
      <c r="Q436" s="104">
        <f t="shared" si="363"/>
        <v>1835.02809</v>
      </c>
      <c r="R436" s="203"/>
      <c r="S436" s="203"/>
      <c r="T436" s="203"/>
      <c r="U436" s="203"/>
      <c r="V436" s="203"/>
      <c r="W436" s="203"/>
      <c r="X436" s="203"/>
      <c r="Y436" s="203"/>
      <c r="Z436" s="203"/>
      <c r="AA436" s="203"/>
      <c r="AB436" s="203"/>
      <c r="AC436" s="203"/>
      <c r="AD436" s="203"/>
      <c r="AE436" s="203"/>
      <c r="AF436" s="203"/>
      <c r="AG436" s="203"/>
      <c r="AH436" s="203"/>
      <c r="AI436" s="203"/>
      <c r="AJ436" s="203"/>
    </row>
    <row r="437" spans="1:36" s="32" customFormat="1">
      <c r="A437" s="131">
        <f>IF(F437&lt;&gt;"",1+MAX($A$2:A436),"")</f>
        <v>321</v>
      </c>
      <c r="B437" s="358"/>
      <c r="C437" s="137"/>
      <c r="D437" s="167" t="s">
        <v>376</v>
      </c>
      <c r="E437" s="134">
        <v>11.77</v>
      </c>
      <c r="F437" s="176">
        <v>0.05</v>
      </c>
      <c r="G437" s="177">
        <f t="shared" si="357"/>
        <v>12.358499999999999</v>
      </c>
      <c r="H437" s="164" t="s">
        <v>71</v>
      </c>
      <c r="I437" s="250">
        <f>0.02*(12+6)*2</f>
        <v>0.72</v>
      </c>
      <c r="J437" s="149">
        <f t="shared" si="358"/>
        <v>8.8981200000000005</v>
      </c>
      <c r="K437" s="151">
        <f>'LABOR SHEET'!C$5</f>
        <v>96.91</v>
      </c>
      <c r="L437" s="150">
        <f t="shared" si="359"/>
        <v>69.775199999999998</v>
      </c>
      <c r="M437" s="150">
        <f t="shared" si="360"/>
        <v>862.31680919999997</v>
      </c>
      <c r="N437" s="251">
        <f>0.167*(12*6)</f>
        <v>12.023999999999999</v>
      </c>
      <c r="O437" s="150">
        <f t="shared" si="361"/>
        <v>148.59860399999999</v>
      </c>
      <c r="P437" s="150">
        <f t="shared" si="362"/>
        <v>81.799199999999999</v>
      </c>
      <c r="Q437" s="104">
        <f t="shared" si="363"/>
        <v>1010.9154132</v>
      </c>
      <c r="R437" s="203"/>
      <c r="S437" s="203"/>
      <c r="T437" s="203"/>
      <c r="U437" s="203"/>
      <c r="V437" s="203"/>
      <c r="W437" s="203"/>
      <c r="X437" s="203"/>
      <c r="Y437" s="203"/>
      <c r="Z437" s="203"/>
      <c r="AA437" s="203"/>
      <c r="AB437" s="203"/>
      <c r="AC437" s="203"/>
      <c r="AD437" s="203"/>
      <c r="AE437" s="203"/>
      <c r="AF437" s="203"/>
      <c r="AG437" s="203"/>
      <c r="AH437" s="203"/>
      <c r="AI437" s="203"/>
      <c r="AJ437" s="203"/>
    </row>
    <row r="438" spans="1:36" s="32" customFormat="1">
      <c r="A438" s="131">
        <f>IF(F438&lt;&gt;"",1+MAX($A$2:A437),"")</f>
        <v>322</v>
      </c>
      <c r="B438" s="358"/>
      <c r="C438" s="137"/>
      <c r="D438" s="167" t="s">
        <v>377</v>
      </c>
      <c r="E438" s="134">
        <v>27.59</v>
      </c>
      <c r="F438" s="176">
        <v>0.05</v>
      </c>
      <c r="G438" s="177">
        <f t="shared" si="357"/>
        <v>28.9695</v>
      </c>
      <c r="H438" s="164" t="s">
        <v>71</v>
      </c>
      <c r="I438" s="250">
        <f>0.02*(16+8)*2</f>
        <v>0.96</v>
      </c>
      <c r="J438" s="149">
        <f t="shared" si="358"/>
        <v>27.81072</v>
      </c>
      <c r="K438" s="151">
        <f>'LABOR SHEET'!C$5</f>
        <v>96.91</v>
      </c>
      <c r="L438" s="150">
        <f t="shared" si="359"/>
        <v>93.033600000000007</v>
      </c>
      <c r="M438" s="150">
        <f t="shared" si="360"/>
        <v>2695.1368751999998</v>
      </c>
      <c r="N438" s="251">
        <f>0.167*(16*8)</f>
        <v>21.376000000000001</v>
      </c>
      <c r="O438" s="150">
        <f t="shared" si="361"/>
        <v>619.25203199999999</v>
      </c>
      <c r="P438" s="150">
        <f t="shared" si="362"/>
        <v>114.4096</v>
      </c>
      <c r="Q438" s="104">
        <f t="shared" si="363"/>
        <v>3314.3889072000002</v>
      </c>
      <c r="R438" s="203"/>
      <c r="S438" s="203"/>
      <c r="T438" s="203"/>
      <c r="U438" s="203"/>
      <c r="V438" s="203"/>
      <c r="W438" s="203"/>
      <c r="X438" s="203"/>
      <c r="Y438" s="203"/>
      <c r="Z438" s="203"/>
      <c r="AA438" s="203"/>
      <c r="AB438" s="203"/>
      <c r="AC438" s="203"/>
      <c r="AD438" s="203"/>
      <c r="AE438" s="203"/>
      <c r="AF438" s="203"/>
      <c r="AG438" s="203"/>
      <c r="AH438" s="203"/>
      <c r="AI438" s="203"/>
      <c r="AJ438" s="203"/>
    </row>
    <row r="439" spans="1:36" s="32" customFormat="1">
      <c r="A439" s="131">
        <f>IF(F439&lt;&gt;"",1+MAX($A$2:A438),"")</f>
        <v>323</v>
      </c>
      <c r="B439" s="358"/>
      <c r="C439" s="137"/>
      <c r="D439" s="167" t="s">
        <v>378</v>
      </c>
      <c r="E439" s="134">
        <v>37.049999999999997</v>
      </c>
      <c r="F439" s="176">
        <v>0.05</v>
      </c>
      <c r="G439" s="177">
        <f t="shared" si="357"/>
        <v>38.902500000000003</v>
      </c>
      <c r="H439" s="164" t="s">
        <v>71</v>
      </c>
      <c r="I439" s="250">
        <f>0.02*(10+10)*2</f>
        <v>0.8</v>
      </c>
      <c r="J439" s="149">
        <f t="shared" si="358"/>
        <v>31.122</v>
      </c>
      <c r="K439" s="151">
        <f>'LABOR SHEET'!C$5</f>
        <v>96.91</v>
      </c>
      <c r="L439" s="150">
        <f t="shared" si="359"/>
        <v>77.528000000000006</v>
      </c>
      <c r="M439" s="150">
        <f t="shared" si="360"/>
        <v>3016.0330199999999</v>
      </c>
      <c r="N439" s="251">
        <f>0.167*(10*10)</f>
        <v>16.7</v>
      </c>
      <c r="O439" s="150">
        <f t="shared" si="361"/>
        <v>649.67174999999997</v>
      </c>
      <c r="P439" s="150">
        <f t="shared" si="362"/>
        <v>94.227999999999994</v>
      </c>
      <c r="Q439" s="104">
        <f t="shared" si="363"/>
        <v>3665.7047699999998</v>
      </c>
      <c r="R439" s="203"/>
      <c r="S439" s="203"/>
      <c r="T439" s="203"/>
      <c r="U439" s="203"/>
      <c r="V439" s="203"/>
      <c r="W439" s="203"/>
      <c r="X439" s="203"/>
      <c r="Y439" s="203"/>
      <c r="Z439" s="203"/>
      <c r="AA439" s="203"/>
      <c r="AB439" s="203"/>
      <c r="AC439" s="203"/>
      <c r="AD439" s="203"/>
      <c r="AE439" s="203"/>
      <c r="AF439" s="203"/>
      <c r="AG439" s="203"/>
      <c r="AH439" s="203"/>
      <c r="AI439" s="203"/>
      <c r="AJ439" s="203"/>
    </row>
    <row r="440" spans="1:36" s="32" customFormat="1">
      <c r="A440" s="131">
        <f>IF(F440&lt;&gt;"",1+MAX($A$2:A439),"")</f>
        <v>324</v>
      </c>
      <c r="B440" s="358"/>
      <c r="C440" s="137"/>
      <c r="D440" s="167" t="s">
        <v>379</v>
      </c>
      <c r="E440" s="134">
        <v>46.6</v>
      </c>
      <c r="F440" s="176">
        <v>0.05</v>
      </c>
      <c r="G440" s="177">
        <f t="shared" si="357"/>
        <v>48.93</v>
      </c>
      <c r="H440" s="164" t="s">
        <v>71</v>
      </c>
      <c r="I440" s="250">
        <f>0.02*(10+8)*2</f>
        <v>0.72</v>
      </c>
      <c r="J440" s="149">
        <f t="shared" si="358"/>
        <v>35.229599999999998</v>
      </c>
      <c r="K440" s="151">
        <f>'LABOR SHEET'!C$5</f>
        <v>96.91</v>
      </c>
      <c r="L440" s="150">
        <f t="shared" si="359"/>
        <v>69.775199999999998</v>
      </c>
      <c r="M440" s="150">
        <f t="shared" si="360"/>
        <v>3414.1005359999999</v>
      </c>
      <c r="N440" s="251">
        <f>0.167*(10*8)</f>
        <v>13.36</v>
      </c>
      <c r="O440" s="150">
        <f t="shared" si="361"/>
        <v>653.70479999999998</v>
      </c>
      <c r="P440" s="150">
        <f t="shared" si="362"/>
        <v>83.135199999999998</v>
      </c>
      <c r="Q440" s="104">
        <f t="shared" si="363"/>
        <v>4067.8053359999999</v>
      </c>
      <c r="R440" s="203"/>
      <c r="S440" s="203"/>
      <c r="T440" s="203"/>
      <c r="U440" s="203"/>
      <c r="V440" s="203"/>
      <c r="W440" s="203"/>
      <c r="X440" s="203"/>
      <c r="Y440" s="203"/>
      <c r="Z440" s="203"/>
      <c r="AA440" s="203"/>
      <c r="AB440" s="203"/>
      <c r="AC440" s="203"/>
      <c r="AD440" s="203"/>
      <c r="AE440" s="203"/>
      <c r="AF440" s="203"/>
      <c r="AG440" s="203"/>
      <c r="AH440" s="203"/>
      <c r="AI440" s="203"/>
      <c r="AJ440" s="203"/>
    </row>
    <row r="441" spans="1:36" s="32" customFormat="1">
      <c r="A441" s="131">
        <f>IF(F441&lt;&gt;"",1+MAX($A$2:A440),"")</f>
        <v>325</v>
      </c>
      <c r="B441" s="358"/>
      <c r="C441" s="137"/>
      <c r="D441" s="167" t="s">
        <v>380</v>
      </c>
      <c r="E441" s="134">
        <v>2.69</v>
      </c>
      <c r="F441" s="176">
        <v>0.05</v>
      </c>
      <c r="G441" s="177">
        <f t="shared" si="357"/>
        <v>2.8245</v>
      </c>
      <c r="H441" s="164" t="s">
        <v>71</v>
      </c>
      <c r="I441" s="250">
        <f>0.02*(37+14)*2</f>
        <v>2.04</v>
      </c>
      <c r="J441" s="149">
        <f t="shared" si="358"/>
        <v>5.7619800000000003</v>
      </c>
      <c r="K441" s="151">
        <f>'LABOR SHEET'!C$5</f>
        <v>96.91</v>
      </c>
      <c r="L441" s="150">
        <f t="shared" si="359"/>
        <v>197.69640000000001</v>
      </c>
      <c r="M441" s="150">
        <f t="shared" si="360"/>
        <v>558.39348180000002</v>
      </c>
      <c r="N441" s="251">
        <f>0.167*(37*14)</f>
        <v>86.506</v>
      </c>
      <c r="O441" s="150">
        <f t="shared" si="361"/>
        <v>244.336197</v>
      </c>
      <c r="P441" s="150">
        <f t="shared" si="362"/>
        <v>284.20240000000001</v>
      </c>
      <c r="Q441" s="104">
        <f t="shared" si="363"/>
        <v>802.72967879999999</v>
      </c>
      <c r="R441" s="203"/>
      <c r="S441" s="203"/>
      <c r="T441" s="203"/>
      <c r="U441" s="203"/>
      <c r="V441" s="203"/>
      <c r="W441" s="203"/>
      <c r="X441" s="203"/>
      <c r="Y441" s="203"/>
      <c r="Z441" s="203"/>
      <c r="AA441" s="203"/>
      <c r="AB441" s="203"/>
      <c r="AC441" s="203"/>
      <c r="AD441" s="203"/>
      <c r="AE441" s="203"/>
      <c r="AF441" s="203"/>
      <c r="AG441" s="203"/>
      <c r="AH441" s="203"/>
      <c r="AI441" s="203"/>
      <c r="AJ441" s="203"/>
    </row>
    <row r="442" spans="1:36" s="32" customFormat="1">
      <c r="A442" s="131">
        <f>IF(F442&lt;&gt;"",1+MAX($A$2:A441),"")</f>
        <v>326</v>
      </c>
      <c r="B442" s="358"/>
      <c r="C442" s="137"/>
      <c r="D442" s="167" t="s">
        <v>381</v>
      </c>
      <c r="E442" s="134">
        <v>26.78</v>
      </c>
      <c r="F442" s="176">
        <v>0.05</v>
      </c>
      <c r="G442" s="177">
        <f t="shared" si="357"/>
        <v>28.119</v>
      </c>
      <c r="H442" s="164" t="s">
        <v>71</v>
      </c>
      <c r="I442" s="250">
        <f>0.02*(22+8)*2</f>
        <v>1.2</v>
      </c>
      <c r="J442" s="149">
        <f t="shared" si="358"/>
        <v>33.742800000000003</v>
      </c>
      <c r="K442" s="151">
        <f>'LABOR SHEET'!C$5</f>
        <v>96.91</v>
      </c>
      <c r="L442" s="150">
        <f t="shared" si="359"/>
        <v>116.292</v>
      </c>
      <c r="M442" s="150">
        <f t="shared" si="360"/>
        <v>3270.0147480000001</v>
      </c>
      <c r="N442" s="251">
        <f>0.167*(22*8)</f>
        <v>29.391999999999999</v>
      </c>
      <c r="O442" s="150">
        <f t="shared" si="361"/>
        <v>826.47364800000003</v>
      </c>
      <c r="P442" s="150">
        <f t="shared" si="362"/>
        <v>145.684</v>
      </c>
      <c r="Q442" s="104">
        <f t="shared" si="363"/>
        <v>4096.4883959999997</v>
      </c>
      <c r="R442" s="203"/>
      <c r="S442" s="203"/>
      <c r="T442" s="203"/>
      <c r="U442" s="203"/>
      <c r="V442" s="203"/>
      <c r="W442" s="203"/>
      <c r="X442" s="203"/>
      <c r="Y442" s="203"/>
      <c r="Z442" s="203"/>
      <c r="AA442" s="203"/>
      <c r="AB442" s="203"/>
      <c r="AC442" s="203"/>
      <c r="AD442" s="203"/>
      <c r="AE442" s="203"/>
      <c r="AF442" s="203"/>
      <c r="AG442" s="203"/>
      <c r="AH442" s="203"/>
      <c r="AI442" s="203"/>
      <c r="AJ442" s="203"/>
    </row>
    <row r="443" spans="1:36" s="32" customFormat="1">
      <c r="A443" s="131">
        <f>IF(F443&lt;&gt;"",1+MAX($A$2:A442),"")</f>
        <v>327</v>
      </c>
      <c r="B443" s="358"/>
      <c r="C443" s="137"/>
      <c r="D443" s="167" t="s">
        <v>382</v>
      </c>
      <c r="E443" s="134">
        <v>23.6</v>
      </c>
      <c r="F443" s="176">
        <v>0.05</v>
      </c>
      <c r="G443" s="177">
        <f t="shared" si="357"/>
        <v>24.78</v>
      </c>
      <c r="H443" s="164" t="s">
        <v>71</v>
      </c>
      <c r="I443" s="250">
        <f>0.02*(14+8)*2</f>
        <v>0.88</v>
      </c>
      <c r="J443" s="149">
        <f t="shared" si="358"/>
        <v>21.8064</v>
      </c>
      <c r="K443" s="151">
        <f>'LABOR SHEET'!C$5</f>
        <v>96.91</v>
      </c>
      <c r="L443" s="150">
        <f t="shared" si="359"/>
        <v>85.280799999999999</v>
      </c>
      <c r="M443" s="150">
        <f t="shared" si="360"/>
        <v>2113.2582240000002</v>
      </c>
      <c r="N443" s="251">
        <f>0.167*(14*8)</f>
        <v>18.704000000000001</v>
      </c>
      <c r="O443" s="150">
        <f t="shared" si="361"/>
        <v>463.48511999999999</v>
      </c>
      <c r="P443" s="150">
        <f t="shared" si="362"/>
        <v>103.98480000000001</v>
      </c>
      <c r="Q443" s="104">
        <f t="shared" si="363"/>
        <v>2576.743344</v>
      </c>
      <c r="R443" s="203"/>
      <c r="S443" s="203"/>
      <c r="T443" s="203"/>
      <c r="U443" s="203"/>
      <c r="V443" s="203"/>
      <c r="W443" s="203"/>
      <c r="X443" s="203"/>
      <c r="Y443" s="203"/>
      <c r="Z443" s="203"/>
      <c r="AA443" s="203"/>
      <c r="AB443" s="203"/>
      <c r="AC443" s="203"/>
      <c r="AD443" s="203"/>
      <c r="AE443" s="203"/>
      <c r="AF443" s="203"/>
      <c r="AG443" s="203"/>
      <c r="AH443" s="203"/>
      <c r="AI443" s="203"/>
      <c r="AJ443" s="203"/>
    </row>
    <row r="444" spans="1:36" s="32" customFormat="1">
      <c r="A444" s="131" t="str">
        <f>IF(F444&lt;&gt;"",1+MAX($A$2:A443),"")</f>
        <v/>
      </c>
      <c r="B444" s="358"/>
      <c r="C444" s="137"/>
      <c r="D444" s="167"/>
      <c r="E444" s="134"/>
      <c r="F444" s="176"/>
      <c r="G444" s="177"/>
      <c r="H444" s="164"/>
      <c r="I444" s="250"/>
      <c r="J444" s="149"/>
      <c r="K444" s="151"/>
      <c r="L444" s="150"/>
      <c r="M444" s="257"/>
      <c r="N444" s="251"/>
      <c r="O444" s="150"/>
      <c r="P444" s="150"/>
      <c r="Q444" s="152"/>
      <c r="R444" s="203"/>
      <c r="S444" s="203"/>
      <c r="T444" s="203"/>
      <c r="U444" s="203"/>
      <c r="V444" s="203"/>
      <c r="W444" s="203"/>
      <c r="X444" s="203"/>
      <c r="Y444" s="203"/>
      <c r="Z444" s="203"/>
      <c r="AA444" s="203"/>
      <c r="AB444" s="203"/>
      <c r="AC444" s="203"/>
      <c r="AD444" s="203"/>
      <c r="AE444" s="203"/>
      <c r="AF444" s="203"/>
      <c r="AG444" s="203"/>
      <c r="AH444" s="203"/>
      <c r="AI444" s="203"/>
      <c r="AJ444" s="203"/>
    </row>
    <row r="445" spans="1:36" s="32" customFormat="1">
      <c r="A445" s="131" t="str">
        <f>IF(F445&lt;&gt;"",1+MAX($A$2:A444),"")</f>
        <v/>
      </c>
      <c r="B445" s="358"/>
      <c r="C445" s="134"/>
      <c r="D445" s="221" t="s">
        <v>383</v>
      </c>
      <c r="E445" s="164"/>
      <c r="F445" s="164"/>
      <c r="G445" s="164"/>
      <c r="H445" s="164"/>
      <c r="I445" s="258"/>
      <c r="J445" s="246"/>
      <c r="K445" s="247"/>
      <c r="L445" s="150"/>
      <c r="M445" s="150"/>
      <c r="N445" s="251"/>
      <c r="O445" s="150"/>
      <c r="P445" s="150"/>
      <c r="Q445" s="152"/>
      <c r="R445" s="203"/>
      <c r="S445" s="203"/>
      <c r="T445" s="203"/>
      <c r="U445" s="203"/>
      <c r="V445" s="203"/>
      <c r="W445" s="203"/>
      <c r="X445" s="203"/>
      <c r="Y445" s="203"/>
      <c r="Z445" s="203"/>
      <c r="AA445" s="203"/>
      <c r="AB445" s="203"/>
      <c r="AC445" s="203"/>
      <c r="AD445" s="203"/>
      <c r="AE445" s="203"/>
      <c r="AF445" s="203"/>
      <c r="AG445" s="203"/>
      <c r="AH445" s="203"/>
      <c r="AI445" s="203"/>
      <c r="AJ445" s="203"/>
    </row>
    <row r="446" spans="1:36" s="32" customFormat="1">
      <c r="A446" s="131">
        <f>IF(F446&lt;&gt;"",1+MAX($A$2:A445),"")</f>
        <v>328</v>
      </c>
      <c r="B446" s="358"/>
      <c r="C446" s="137"/>
      <c r="D446" s="167" t="s">
        <v>384</v>
      </c>
      <c r="E446" s="134">
        <v>3170</v>
      </c>
      <c r="F446" s="176">
        <v>0.1</v>
      </c>
      <c r="G446" s="177">
        <f>E446*(1+F446)</f>
        <v>3487</v>
      </c>
      <c r="H446" s="164" t="s">
        <v>58</v>
      </c>
      <c r="I446" s="250">
        <v>4.8000000000000001E-2</v>
      </c>
      <c r="J446" s="149">
        <f t="shared" ref="J446" si="364">+I446*G446</f>
        <v>167.376</v>
      </c>
      <c r="K446" s="151">
        <f>'LABOR SHEET'!C$5</f>
        <v>96.91</v>
      </c>
      <c r="L446" s="150">
        <f t="shared" ref="L446" si="365">I446*K446</f>
        <v>4.6516799999999998</v>
      </c>
      <c r="M446" s="150">
        <f t="shared" ref="M446" si="366">K446*J446</f>
        <v>16220.408160000001</v>
      </c>
      <c r="N446" s="251">
        <v>0.8</v>
      </c>
      <c r="O446" s="150">
        <f t="shared" ref="O446" si="367">N446*G446</f>
        <v>2789.6</v>
      </c>
      <c r="P446" s="150">
        <f t="shared" ref="P446" si="368">(I446*K446)+N446</f>
        <v>5.4516799999999996</v>
      </c>
      <c r="Q446" s="104">
        <f t="shared" ref="Q446" si="369">P446*G446</f>
        <v>19010.008160000001</v>
      </c>
      <c r="R446" s="203"/>
      <c r="S446" s="203"/>
      <c r="T446" s="203"/>
      <c r="U446" s="203"/>
      <c r="V446" s="203"/>
      <c r="W446" s="203"/>
      <c r="X446" s="203"/>
      <c r="Y446" s="203"/>
      <c r="Z446" s="203"/>
      <c r="AA446" s="203"/>
      <c r="AB446" s="203"/>
      <c r="AC446" s="203"/>
      <c r="AD446" s="203"/>
      <c r="AE446" s="203"/>
      <c r="AF446" s="203"/>
      <c r="AG446" s="203"/>
      <c r="AH446" s="203"/>
      <c r="AI446" s="203"/>
      <c r="AJ446" s="203"/>
    </row>
    <row r="447" spans="1:36" s="32" customFormat="1">
      <c r="A447" s="131" t="str">
        <f>IF(F447&lt;&gt;"",1+MAX($A$2:A446),"")</f>
        <v/>
      </c>
      <c r="B447" s="224"/>
      <c r="C447" s="137"/>
      <c r="D447" s="167"/>
      <c r="E447" s="134"/>
      <c r="F447" s="176"/>
      <c r="G447" s="177"/>
      <c r="H447" s="164"/>
      <c r="I447" s="148"/>
      <c r="J447" s="149"/>
      <c r="K447" s="151"/>
      <c r="L447" s="150"/>
      <c r="M447" s="257"/>
      <c r="N447" s="150"/>
      <c r="O447" s="150"/>
      <c r="P447" s="150"/>
      <c r="Q447" s="152"/>
      <c r="R447" s="203"/>
      <c r="S447" s="203"/>
      <c r="T447" s="203"/>
      <c r="U447" s="203"/>
      <c r="V447" s="203"/>
      <c r="W447" s="203"/>
      <c r="X447" s="203"/>
      <c r="Y447" s="203"/>
      <c r="Z447" s="203"/>
      <c r="AA447" s="203"/>
      <c r="AB447" s="203"/>
      <c r="AC447" s="203"/>
      <c r="AD447" s="203"/>
      <c r="AE447" s="203"/>
      <c r="AF447" s="203"/>
      <c r="AG447" s="203"/>
      <c r="AH447" s="203"/>
      <c r="AI447" s="203"/>
      <c r="AJ447" s="203"/>
    </row>
    <row r="448" spans="1:36" s="32" customFormat="1">
      <c r="A448" s="131" t="str">
        <f>IF(F448&lt;&gt;"",1+MAX($A$2:A447),"")</f>
        <v/>
      </c>
      <c r="B448" s="228"/>
      <c r="C448" s="220"/>
      <c r="D448" s="71" t="s">
        <v>53</v>
      </c>
      <c r="E448" s="230"/>
      <c r="F448" s="230"/>
      <c r="G448" s="231"/>
      <c r="H448" s="230"/>
      <c r="I448" s="230"/>
      <c r="J448" s="192"/>
      <c r="K448" s="192"/>
      <c r="L448" s="193"/>
      <c r="M448" s="194"/>
      <c r="N448" s="193"/>
      <c r="O448" s="193"/>
      <c r="P448" s="249"/>
      <c r="Q448" s="199">
        <f>SUM(Q335:Q446)</f>
        <v>190540.48680635</v>
      </c>
      <c r="S448" s="254"/>
    </row>
    <row r="449" spans="1:36" s="32" customFormat="1">
      <c r="A449" s="131" t="str">
        <f>IF(F449&lt;&gt;"",1+MAX($A$2:A448),"")</f>
        <v/>
      </c>
      <c r="B449" s="233"/>
      <c r="C449" s="233"/>
      <c r="D449" s="233"/>
      <c r="E449" s="233"/>
      <c r="F449" s="233"/>
      <c r="G449" s="233"/>
      <c r="H449" s="233"/>
      <c r="I449" s="233"/>
      <c r="J449" s="233"/>
      <c r="K449" s="233"/>
      <c r="L449" s="233"/>
      <c r="M449" s="233"/>
      <c r="N449" s="233"/>
      <c r="O449" s="233"/>
      <c r="P449" s="233"/>
      <c r="Q449" s="255"/>
      <c r="S449" s="254"/>
    </row>
    <row r="450" spans="1:36" s="32" customFormat="1">
      <c r="A450" s="131" t="str">
        <f>IF(F450&lt;&gt;"",1+MAX($A$2:A449),"")</f>
        <v/>
      </c>
      <c r="B450" s="48"/>
      <c r="C450" s="48">
        <v>26</v>
      </c>
      <c r="D450" s="50" t="s">
        <v>385</v>
      </c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155"/>
      <c r="S450" s="254"/>
    </row>
    <row r="451" spans="1:36" s="32" customFormat="1">
      <c r="A451" s="131" t="str">
        <f>IF(F451&lt;&gt;"",1+MAX($A$2:A450),"")</f>
        <v/>
      </c>
      <c r="B451" s="238"/>
      <c r="C451" s="134"/>
      <c r="D451" s="221" t="s">
        <v>386</v>
      </c>
      <c r="E451" s="164"/>
      <c r="F451" s="164"/>
      <c r="G451" s="164"/>
      <c r="H451" s="164"/>
      <c r="I451" s="245"/>
      <c r="J451" s="246"/>
      <c r="K451" s="247"/>
      <c r="L451" s="150"/>
      <c r="M451" s="150"/>
      <c r="N451" s="150"/>
      <c r="O451" s="150"/>
      <c r="P451" s="150"/>
      <c r="Q451" s="152"/>
      <c r="R451" s="203"/>
      <c r="S451" s="203"/>
      <c r="T451" s="203"/>
      <c r="U451" s="203"/>
      <c r="V451" s="203"/>
      <c r="W451" s="203"/>
      <c r="X451" s="203"/>
      <c r="Y451" s="203"/>
      <c r="Z451" s="203"/>
      <c r="AA451" s="203"/>
      <c r="AB451" s="203"/>
      <c r="AC451" s="203"/>
      <c r="AD451" s="203"/>
      <c r="AE451" s="203"/>
      <c r="AF451" s="203"/>
      <c r="AG451" s="203"/>
      <c r="AH451" s="203"/>
      <c r="AI451" s="203"/>
      <c r="AJ451" s="203"/>
    </row>
    <row r="452" spans="1:36" s="32" customFormat="1">
      <c r="A452" s="131">
        <f>IF(F452&lt;&gt;"",1+MAX($A$2:A451),"")</f>
        <v>329</v>
      </c>
      <c r="B452" s="360" t="s">
        <v>387</v>
      </c>
      <c r="C452" s="137"/>
      <c r="D452" s="167" t="s">
        <v>388</v>
      </c>
      <c r="E452" s="134">
        <v>50</v>
      </c>
      <c r="F452" s="176">
        <v>0</v>
      </c>
      <c r="G452" s="177">
        <f t="shared" ref="G452:G457" si="370">E452*(1+F452)</f>
        <v>50</v>
      </c>
      <c r="H452" s="164" t="s">
        <v>81</v>
      </c>
      <c r="I452" s="250">
        <v>1.2</v>
      </c>
      <c r="J452" s="149">
        <f t="shared" ref="J452" si="371">+I452*G452</f>
        <v>60</v>
      </c>
      <c r="K452" s="151">
        <f>'LABOR SHEET'!C$6</f>
        <v>92</v>
      </c>
      <c r="L452" s="150">
        <f t="shared" ref="L452" si="372">I452*K452</f>
        <v>110.4</v>
      </c>
      <c r="M452" s="150">
        <f t="shared" ref="M452" si="373">K452*J452</f>
        <v>5520</v>
      </c>
      <c r="N452" s="251">
        <f>(176.4)+(20)</f>
        <v>196.4</v>
      </c>
      <c r="O452" s="150">
        <f t="shared" ref="O452" si="374">N452*G452</f>
        <v>9820</v>
      </c>
      <c r="P452" s="150">
        <f t="shared" ref="P452" si="375">(I452*K452)+N452</f>
        <v>306.8</v>
      </c>
      <c r="Q452" s="104">
        <f t="shared" ref="Q452" si="376">P452*G452</f>
        <v>15340</v>
      </c>
      <c r="R452" s="203"/>
      <c r="S452" s="203"/>
      <c r="T452" s="203"/>
      <c r="U452" s="203"/>
      <c r="V452" s="203"/>
      <c r="W452" s="203"/>
      <c r="X452" s="203"/>
      <c r="Y452" s="203"/>
      <c r="Z452" s="203"/>
      <c r="AA452" s="203"/>
      <c r="AB452" s="203"/>
      <c r="AC452" s="203"/>
      <c r="AD452" s="203"/>
      <c r="AE452" s="203"/>
      <c r="AF452" s="203"/>
      <c r="AG452" s="203"/>
      <c r="AH452" s="203"/>
      <c r="AI452" s="203"/>
      <c r="AJ452" s="203"/>
    </row>
    <row r="453" spans="1:36" s="32" customFormat="1">
      <c r="A453" s="131">
        <f>IF(F453&lt;&gt;"",1+MAX($A$2:A452),"")</f>
        <v>330</v>
      </c>
      <c r="B453" s="358"/>
      <c r="C453" s="137"/>
      <c r="D453" s="167" t="s">
        <v>389</v>
      </c>
      <c r="E453" s="134">
        <v>7</v>
      </c>
      <c r="F453" s="176">
        <v>0</v>
      </c>
      <c r="G453" s="177">
        <f t="shared" si="370"/>
        <v>7</v>
      </c>
      <c r="H453" s="164" t="s">
        <v>81</v>
      </c>
      <c r="I453" s="250">
        <v>1.42</v>
      </c>
      <c r="J453" s="149">
        <f t="shared" ref="J453:J464" si="377">+I453*G453</f>
        <v>9.94</v>
      </c>
      <c r="K453" s="151">
        <f>'LABOR SHEET'!C$6</f>
        <v>92</v>
      </c>
      <c r="L453" s="150">
        <f t="shared" ref="L453:L464" si="378">I453*K453</f>
        <v>130.63999999999999</v>
      </c>
      <c r="M453" s="150">
        <f t="shared" ref="M453:M464" si="379">K453*J453</f>
        <v>914.48</v>
      </c>
      <c r="N453" s="251">
        <f>(176.4+35)+(20)</f>
        <v>231.4</v>
      </c>
      <c r="O453" s="150">
        <f t="shared" ref="O453:O464" si="380">N453*G453</f>
        <v>1619.8</v>
      </c>
      <c r="P453" s="150">
        <f t="shared" ref="P453:P464" si="381">(I453*K453)+N453</f>
        <v>362.04</v>
      </c>
      <c r="Q453" s="104">
        <f t="shared" ref="Q453:Q464" si="382">P453*G453</f>
        <v>2534.2800000000002</v>
      </c>
      <c r="R453" s="203"/>
      <c r="S453" s="203"/>
      <c r="T453" s="203"/>
      <c r="U453" s="203"/>
      <c r="V453" s="203"/>
      <c r="W453" s="203"/>
      <c r="X453" s="203"/>
      <c r="Y453" s="203"/>
      <c r="Z453" s="203"/>
      <c r="AA453" s="203"/>
      <c r="AB453" s="203"/>
      <c r="AC453" s="203"/>
      <c r="AD453" s="203"/>
      <c r="AE453" s="203"/>
      <c r="AF453" s="203"/>
      <c r="AG453" s="203"/>
      <c r="AH453" s="203"/>
      <c r="AI453" s="203"/>
      <c r="AJ453" s="203"/>
    </row>
    <row r="454" spans="1:36" s="32" customFormat="1">
      <c r="A454" s="131">
        <f>IF(F454&lt;&gt;"",1+MAX($A$2:A453),"")</f>
        <v>331</v>
      </c>
      <c r="B454" s="358"/>
      <c r="C454" s="137"/>
      <c r="D454" s="167" t="s">
        <v>390</v>
      </c>
      <c r="E454" s="134">
        <v>8</v>
      </c>
      <c r="F454" s="176">
        <v>0</v>
      </c>
      <c r="G454" s="177">
        <f t="shared" si="370"/>
        <v>8</v>
      </c>
      <c r="H454" s="164" t="s">
        <v>81</v>
      </c>
      <c r="I454" s="250">
        <v>1</v>
      </c>
      <c r="J454" s="149">
        <f t="shared" si="377"/>
        <v>8</v>
      </c>
      <c r="K454" s="151">
        <f>'LABOR SHEET'!C$6</f>
        <v>92</v>
      </c>
      <c r="L454" s="150">
        <f t="shared" si="378"/>
        <v>92</v>
      </c>
      <c r="M454" s="150">
        <f t="shared" si="379"/>
        <v>736</v>
      </c>
      <c r="N454" s="251">
        <f>115+(20)</f>
        <v>135</v>
      </c>
      <c r="O454" s="150">
        <f t="shared" si="380"/>
        <v>1080</v>
      </c>
      <c r="P454" s="150">
        <f t="shared" si="381"/>
        <v>227</v>
      </c>
      <c r="Q454" s="104">
        <f t="shared" si="382"/>
        <v>1816</v>
      </c>
      <c r="R454" s="203"/>
      <c r="S454" s="203"/>
      <c r="T454" s="203"/>
      <c r="U454" s="203"/>
      <c r="V454" s="203"/>
      <c r="W454" s="203"/>
      <c r="X454" s="203"/>
      <c r="Y454" s="203"/>
      <c r="Z454" s="203"/>
      <c r="AA454" s="203"/>
      <c r="AB454" s="203"/>
      <c r="AC454" s="203"/>
      <c r="AD454" s="203"/>
      <c r="AE454" s="203"/>
      <c r="AF454" s="203"/>
      <c r="AG454" s="203"/>
      <c r="AH454" s="203"/>
      <c r="AI454" s="203"/>
      <c r="AJ454" s="203"/>
    </row>
    <row r="455" spans="1:36" s="32" customFormat="1">
      <c r="A455" s="131">
        <f>IF(F455&lt;&gt;"",1+MAX($A$2:A454),"")</f>
        <v>332</v>
      </c>
      <c r="B455" s="358"/>
      <c r="C455" s="137"/>
      <c r="D455" s="167" t="s">
        <v>391</v>
      </c>
      <c r="E455" s="134">
        <v>7</v>
      </c>
      <c r="F455" s="176">
        <v>0</v>
      </c>
      <c r="G455" s="177">
        <f t="shared" si="370"/>
        <v>7</v>
      </c>
      <c r="H455" s="164" t="s">
        <v>81</v>
      </c>
      <c r="I455" s="250">
        <v>1.22</v>
      </c>
      <c r="J455" s="149">
        <f t="shared" si="377"/>
        <v>8.5399999999999991</v>
      </c>
      <c r="K455" s="151">
        <f>'LABOR SHEET'!C$6</f>
        <v>92</v>
      </c>
      <c r="L455" s="150">
        <f t="shared" si="378"/>
        <v>112.24</v>
      </c>
      <c r="M455" s="150">
        <f t="shared" si="379"/>
        <v>785.68</v>
      </c>
      <c r="N455" s="251">
        <f>(115+35)+(20)</f>
        <v>170</v>
      </c>
      <c r="O455" s="150">
        <f t="shared" si="380"/>
        <v>1190</v>
      </c>
      <c r="P455" s="150">
        <f t="shared" si="381"/>
        <v>282.24</v>
      </c>
      <c r="Q455" s="104">
        <f t="shared" si="382"/>
        <v>1975.68</v>
      </c>
      <c r="R455" s="203"/>
      <c r="S455" s="203"/>
      <c r="T455" s="203"/>
      <c r="U455" s="203"/>
      <c r="V455" s="203"/>
      <c r="W455" s="203"/>
      <c r="X455" s="203"/>
      <c r="Y455" s="203"/>
      <c r="Z455" s="203"/>
      <c r="AA455" s="203"/>
      <c r="AB455" s="203"/>
      <c r="AC455" s="203"/>
      <c r="AD455" s="203"/>
      <c r="AE455" s="203"/>
      <c r="AF455" s="203"/>
      <c r="AG455" s="203"/>
      <c r="AH455" s="203"/>
      <c r="AI455" s="203"/>
      <c r="AJ455" s="203"/>
    </row>
    <row r="456" spans="1:36" s="32" customFormat="1">
      <c r="A456" s="131">
        <f>IF(F456&lt;&gt;"",1+MAX($A$2:A455),"")</f>
        <v>333</v>
      </c>
      <c r="B456" s="358"/>
      <c r="C456" s="137"/>
      <c r="D456" s="167" t="s">
        <v>392</v>
      </c>
      <c r="E456" s="134">
        <v>4</v>
      </c>
      <c r="F456" s="176">
        <v>0</v>
      </c>
      <c r="G456" s="177">
        <f t="shared" si="370"/>
        <v>4</v>
      </c>
      <c r="H456" s="164" t="s">
        <v>81</v>
      </c>
      <c r="I456" s="250">
        <v>1.35</v>
      </c>
      <c r="J456" s="149">
        <f t="shared" si="377"/>
        <v>5.4</v>
      </c>
      <c r="K456" s="151">
        <f>'LABOR SHEET'!C$6</f>
        <v>92</v>
      </c>
      <c r="L456" s="150">
        <f t="shared" si="378"/>
        <v>124.2</v>
      </c>
      <c r="M456" s="150">
        <f t="shared" si="379"/>
        <v>496.8</v>
      </c>
      <c r="N456" s="251">
        <f>(132.02)+(20)</f>
        <v>152.02000000000001</v>
      </c>
      <c r="O456" s="150">
        <f t="shared" si="380"/>
        <v>608.08000000000004</v>
      </c>
      <c r="P456" s="150">
        <f t="shared" si="381"/>
        <v>276.22000000000003</v>
      </c>
      <c r="Q456" s="104">
        <f t="shared" si="382"/>
        <v>1104.8800000000001</v>
      </c>
      <c r="R456" s="203"/>
      <c r="S456" s="203"/>
      <c r="T456" s="203"/>
      <c r="U456" s="203"/>
      <c r="V456" s="203"/>
      <c r="W456" s="203"/>
      <c r="X456" s="203"/>
      <c r="Y456" s="203"/>
      <c r="Z456" s="203"/>
      <c r="AA456" s="203"/>
      <c r="AB456" s="203"/>
      <c r="AC456" s="203"/>
      <c r="AD456" s="203"/>
      <c r="AE456" s="203"/>
      <c r="AF456" s="203"/>
      <c r="AG456" s="203"/>
      <c r="AH456" s="203"/>
      <c r="AI456" s="203"/>
      <c r="AJ456" s="203"/>
    </row>
    <row r="457" spans="1:36" s="32" customFormat="1">
      <c r="A457" s="131">
        <f>IF(F457&lt;&gt;"",1+MAX($A$2:A456),"")</f>
        <v>334</v>
      </c>
      <c r="B457" s="358"/>
      <c r="C457" s="137"/>
      <c r="D457" s="167" t="s">
        <v>393</v>
      </c>
      <c r="E457" s="134">
        <v>6</v>
      </c>
      <c r="F457" s="176">
        <v>0</v>
      </c>
      <c r="G457" s="177">
        <f t="shared" si="370"/>
        <v>6</v>
      </c>
      <c r="H457" s="164" t="s">
        <v>81</v>
      </c>
      <c r="I457" s="250">
        <v>1</v>
      </c>
      <c r="J457" s="149">
        <f t="shared" si="377"/>
        <v>6</v>
      </c>
      <c r="K457" s="151">
        <f>'LABOR SHEET'!C$6</f>
        <v>92</v>
      </c>
      <c r="L457" s="150">
        <f t="shared" si="378"/>
        <v>92</v>
      </c>
      <c r="M457" s="150">
        <f t="shared" si="379"/>
        <v>552</v>
      </c>
      <c r="N457" s="251">
        <f>115+(20)</f>
        <v>135</v>
      </c>
      <c r="O457" s="150">
        <f t="shared" si="380"/>
        <v>810</v>
      </c>
      <c r="P457" s="150">
        <f t="shared" si="381"/>
        <v>227</v>
      </c>
      <c r="Q457" s="104">
        <f t="shared" si="382"/>
        <v>1362</v>
      </c>
      <c r="R457" s="203"/>
      <c r="S457" s="203"/>
      <c r="T457" s="203"/>
      <c r="U457" s="203"/>
      <c r="V457" s="203"/>
      <c r="W457" s="203"/>
      <c r="X457" s="203"/>
      <c r="Y457" s="203"/>
      <c r="Z457" s="203"/>
      <c r="AA457" s="203"/>
      <c r="AB457" s="203"/>
      <c r="AC457" s="203"/>
      <c r="AD457" s="203"/>
      <c r="AE457" s="203"/>
      <c r="AF457" s="203"/>
      <c r="AG457" s="203"/>
      <c r="AH457" s="203"/>
      <c r="AI457" s="203"/>
      <c r="AJ457" s="203"/>
    </row>
    <row r="458" spans="1:36" s="32" customFormat="1">
      <c r="A458" s="131">
        <f>IF(F458&lt;&gt;"",1+MAX($A$2:A457),"")</f>
        <v>335</v>
      </c>
      <c r="B458" s="358"/>
      <c r="C458" s="137"/>
      <c r="D458" s="167" t="s">
        <v>394</v>
      </c>
      <c r="E458" s="134">
        <v>4</v>
      </c>
      <c r="F458" s="176">
        <v>0</v>
      </c>
      <c r="G458" s="177">
        <f t="shared" ref="G458:G461" si="383">E458*(1+F458)</f>
        <v>4</v>
      </c>
      <c r="H458" s="164" t="s">
        <v>81</v>
      </c>
      <c r="I458" s="250">
        <v>1.42</v>
      </c>
      <c r="J458" s="149">
        <f t="shared" si="377"/>
        <v>5.68</v>
      </c>
      <c r="K458" s="151">
        <f>'LABOR SHEET'!C$6</f>
        <v>92</v>
      </c>
      <c r="L458" s="150">
        <f t="shared" si="378"/>
        <v>130.63999999999999</v>
      </c>
      <c r="M458" s="150">
        <f t="shared" si="379"/>
        <v>522.55999999999995</v>
      </c>
      <c r="N458" s="251">
        <f>275+(20)</f>
        <v>295</v>
      </c>
      <c r="O458" s="150">
        <f t="shared" si="380"/>
        <v>1180</v>
      </c>
      <c r="P458" s="150">
        <f t="shared" si="381"/>
        <v>425.64</v>
      </c>
      <c r="Q458" s="104">
        <f t="shared" si="382"/>
        <v>1702.56</v>
      </c>
      <c r="R458" s="203"/>
      <c r="S458" s="203"/>
      <c r="T458" s="203"/>
      <c r="U458" s="203"/>
      <c r="V458" s="203"/>
      <c r="W458" s="203"/>
      <c r="X458" s="203"/>
      <c r="Y458" s="203"/>
      <c r="Z458" s="203"/>
      <c r="AA458" s="203"/>
      <c r="AB458" s="203"/>
      <c r="AC458" s="203"/>
      <c r="AD458" s="203"/>
      <c r="AE458" s="203"/>
      <c r="AF458" s="203"/>
      <c r="AG458" s="203"/>
      <c r="AH458" s="203"/>
      <c r="AI458" s="203"/>
      <c r="AJ458" s="203"/>
    </row>
    <row r="459" spans="1:36" s="32" customFormat="1">
      <c r="A459" s="131">
        <f>IF(F459&lt;&gt;"",1+MAX($A$2:A458),"")</f>
        <v>336</v>
      </c>
      <c r="B459" s="358"/>
      <c r="C459" s="137"/>
      <c r="D459" s="167" t="s">
        <v>395</v>
      </c>
      <c r="E459" s="134">
        <v>4</v>
      </c>
      <c r="F459" s="176">
        <v>0</v>
      </c>
      <c r="G459" s="177">
        <f t="shared" si="383"/>
        <v>4</v>
      </c>
      <c r="H459" s="164" t="s">
        <v>81</v>
      </c>
      <c r="I459" s="250">
        <v>0.62</v>
      </c>
      <c r="J459" s="149">
        <f t="shared" si="377"/>
        <v>2.48</v>
      </c>
      <c r="K459" s="151">
        <f>'LABOR SHEET'!C$6</f>
        <v>92</v>
      </c>
      <c r="L459" s="150">
        <f t="shared" si="378"/>
        <v>57.04</v>
      </c>
      <c r="M459" s="150">
        <f t="shared" si="379"/>
        <v>228.16</v>
      </c>
      <c r="N459" s="251">
        <v>42</v>
      </c>
      <c r="O459" s="150">
        <f t="shared" si="380"/>
        <v>168</v>
      </c>
      <c r="P459" s="150">
        <f t="shared" si="381"/>
        <v>99.04</v>
      </c>
      <c r="Q459" s="104">
        <f t="shared" si="382"/>
        <v>396.16</v>
      </c>
      <c r="R459" s="203"/>
      <c r="S459" s="203"/>
      <c r="T459" s="203"/>
      <c r="U459" s="203"/>
      <c r="V459" s="203"/>
      <c r="W459" s="203"/>
      <c r="X459" s="203"/>
      <c r="Y459" s="203"/>
      <c r="Z459" s="203"/>
      <c r="AA459" s="203"/>
      <c r="AB459" s="203"/>
      <c r="AC459" s="203"/>
      <c r="AD459" s="203"/>
      <c r="AE459" s="203"/>
      <c r="AF459" s="203"/>
      <c r="AG459" s="203"/>
      <c r="AH459" s="203"/>
      <c r="AI459" s="203"/>
      <c r="AJ459" s="203"/>
    </row>
    <row r="460" spans="1:36" s="32" customFormat="1">
      <c r="A460" s="131">
        <f>IF(F460&lt;&gt;"",1+MAX($A$2:A459),"")</f>
        <v>337</v>
      </c>
      <c r="B460" s="358"/>
      <c r="C460" s="137"/>
      <c r="D460" s="167" t="s">
        <v>396</v>
      </c>
      <c r="E460" s="134">
        <v>5</v>
      </c>
      <c r="F460" s="176">
        <v>0</v>
      </c>
      <c r="G460" s="177">
        <f t="shared" si="383"/>
        <v>5</v>
      </c>
      <c r="H460" s="164" t="s">
        <v>81</v>
      </c>
      <c r="I460" s="250">
        <v>0.76</v>
      </c>
      <c r="J460" s="149">
        <f t="shared" si="377"/>
        <v>3.8</v>
      </c>
      <c r="K460" s="151">
        <f>'LABOR SHEET'!C$6</f>
        <v>92</v>
      </c>
      <c r="L460" s="150">
        <f t="shared" si="378"/>
        <v>69.92</v>
      </c>
      <c r="M460" s="150">
        <f t="shared" si="379"/>
        <v>349.6</v>
      </c>
      <c r="N460" s="251">
        <v>62</v>
      </c>
      <c r="O460" s="150">
        <f t="shared" si="380"/>
        <v>310</v>
      </c>
      <c r="P460" s="150">
        <f t="shared" si="381"/>
        <v>131.91999999999999</v>
      </c>
      <c r="Q460" s="104">
        <f t="shared" si="382"/>
        <v>659.6</v>
      </c>
      <c r="R460" s="203"/>
      <c r="S460" s="203"/>
      <c r="T460" s="203"/>
      <c r="U460" s="203"/>
      <c r="V460" s="203"/>
      <c r="W460" s="203"/>
      <c r="X460" s="203"/>
      <c r="Y460" s="203"/>
      <c r="Z460" s="203"/>
      <c r="AA460" s="203"/>
      <c r="AB460" s="203"/>
      <c r="AC460" s="203"/>
      <c r="AD460" s="203"/>
      <c r="AE460" s="203"/>
      <c r="AF460" s="203"/>
      <c r="AG460" s="203"/>
      <c r="AH460" s="203"/>
      <c r="AI460" s="203"/>
      <c r="AJ460" s="203"/>
    </row>
    <row r="461" spans="1:36" s="32" customFormat="1">
      <c r="A461" s="131">
        <f>IF(F461&lt;&gt;"",1+MAX($A$2:A460),"")</f>
        <v>338</v>
      </c>
      <c r="B461" s="358"/>
      <c r="C461" s="137"/>
      <c r="D461" s="167" t="s">
        <v>397</v>
      </c>
      <c r="E461" s="134">
        <v>13</v>
      </c>
      <c r="F461" s="176">
        <v>0</v>
      </c>
      <c r="G461" s="177">
        <f t="shared" si="383"/>
        <v>13</v>
      </c>
      <c r="H461" s="164" t="s">
        <v>81</v>
      </c>
      <c r="I461" s="250">
        <v>1.32</v>
      </c>
      <c r="J461" s="149">
        <f t="shared" si="377"/>
        <v>17.16</v>
      </c>
      <c r="K461" s="151">
        <f>'LABOR SHEET'!C$6</f>
        <v>92</v>
      </c>
      <c r="L461" s="150">
        <f t="shared" si="378"/>
        <v>121.44</v>
      </c>
      <c r="M461" s="150">
        <f t="shared" si="379"/>
        <v>1578.72</v>
      </c>
      <c r="N461" s="251">
        <f>148.5+(20)</f>
        <v>168.5</v>
      </c>
      <c r="O461" s="150">
        <f t="shared" si="380"/>
        <v>2190.5</v>
      </c>
      <c r="P461" s="150">
        <f t="shared" si="381"/>
        <v>289.94</v>
      </c>
      <c r="Q461" s="104">
        <f t="shared" si="382"/>
        <v>3769.22</v>
      </c>
      <c r="R461" s="203"/>
      <c r="S461" s="203"/>
      <c r="T461" s="203"/>
      <c r="U461" s="203"/>
      <c r="V461" s="203"/>
      <c r="W461" s="203"/>
      <c r="X461" s="203"/>
      <c r="Y461" s="203"/>
      <c r="Z461" s="203"/>
      <c r="AA461" s="203"/>
      <c r="AB461" s="203"/>
      <c r="AC461" s="203"/>
      <c r="AD461" s="203"/>
      <c r="AE461" s="203"/>
      <c r="AF461" s="203"/>
      <c r="AG461" s="203"/>
      <c r="AH461" s="203"/>
      <c r="AI461" s="203"/>
      <c r="AJ461" s="203"/>
    </row>
    <row r="462" spans="1:36" s="32" customFormat="1">
      <c r="A462" s="131">
        <f>IF(F462&lt;&gt;"",1+MAX($A$2:A461),"")</f>
        <v>339</v>
      </c>
      <c r="B462" s="358"/>
      <c r="C462" s="137"/>
      <c r="D462" s="167" t="s">
        <v>398</v>
      </c>
      <c r="E462" s="134">
        <v>2</v>
      </c>
      <c r="F462" s="176">
        <v>0</v>
      </c>
      <c r="G462" s="177">
        <f t="shared" ref="G462:G467" si="384">E462*(1+F462)</f>
        <v>2</v>
      </c>
      <c r="H462" s="164" t="s">
        <v>81</v>
      </c>
      <c r="I462" s="250">
        <v>0.86</v>
      </c>
      <c r="J462" s="149">
        <f t="shared" si="377"/>
        <v>1.72</v>
      </c>
      <c r="K462" s="151">
        <f>'LABOR SHEET'!C$6</f>
        <v>92</v>
      </c>
      <c r="L462" s="150">
        <f t="shared" si="378"/>
        <v>79.12</v>
      </c>
      <c r="M462" s="150">
        <f t="shared" si="379"/>
        <v>158.24</v>
      </c>
      <c r="N462" s="251">
        <v>148.35</v>
      </c>
      <c r="O462" s="150">
        <f t="shared" si="380"/>
        <v>296.7</v>
      </c>
      <c r="P462" s="150">
        <f t="shared" si="381"/>
        <v>227.47</v>
      </c>
      <c r="Q462" s="104">
        <f t="shared" si="382"/>
        <v>454.94</v>
      </c>
      <c r="R462" s="203"/>
      <c r="S462" s="203"/>
      <c r="T462" s="203"/>
      <c r="U462" s="203"/>
      <c r="V462" s="203"/>
      <c r="W462" s="203"/>
      <c r="X462" s="203"/>
      <c r="Y462" s="203"/>
      <c r="Z462" s="203"/>
      <c r="AA462" s="203"/>
      <c r="AB462" s="203"/>
      <c r="AC462" s="203"/>
      <c r="AD462" s="203"/>
      <c r="AE462" s="203"/>
      <c r="AF462" s="203"/>
      <c r="AG462" s="203"/>
      <c r="AH462" s="203"/>
      <c r="AI462" s="203"/>
      <c r="AJ462" s="203"/>
    </row>
    <row r="463" spans="1:36" s="32" customFormat="1">
      <c r="A463" s="131">
        <f>IF(F463&lt;&gt;"",1+MAX($A$2:A462),"")</f>
        <v>340</v>
      </c>
      <c r="B463" s="358"/>
      <c r="C463" s="137"/>
      <c r="D463" s="167" t="s">
        <v>399</v>
      </c>
      <c r="E463" s="134">
        <v>1</v>
      </c>
      <c r="F463" s="176">
        <v>0</v>
      </c>
      <c r="G463" s="177">
        <f t="shared" si="384"/>
        <v>1</v>
      </c>
      <c r="H463" s="164" t="s">
        <v>81</v>
      </c>
      <c r="I463" s="250">
        <v>4.0999999999999996</v>
      </c>
      <c r="J463" s="149">
        <f t="shared" si="377"/>
        <v>4.0999999999999996</v>
      </c>
      <c r="K463" s="151">
        <f>'LABOR SHEET'!C$6</f>
        <v>92</v>
      </c>
      <c r="L463" s="150">
        <f t="shared" si="378"/>
        <v>377.2</v>
      </c>
      <c r="M463" s="150">
        <f t="shared" si="379"/>
        <v>377.2</v>
      </c>
      <c r="N463" s="251">
        <v>1376</v>
      </c>
      <c r="O463" s="150">
        <f t="shared" si="380"/>
        <v>1376</v>
      </c>
      <c r="P463" s="150">
        <f t="shared" si="381"/>
        <v>1753.2</v>
      </c>
      <c r="Q463" s="104">
        <f t="shared" si="382"/>
        <v>1753.2</v>
      </c>
      <c r="R463" s="203"/>
      <c r="S463" s="203"/>
      <c r="T463" s="203"/>
      <c r="U463" s="203"/>
      <c r="V463" s="203"/>
      <c r="W463" s="203"/>
      <c r="X463" s="203"/>
      <c r="Y463" s="203"/>
      <c r="Z463" s="203"/>
      <c r="AA463" s="203"/>
      <c r="AB463" s="203"/>
      <c r="AC463" s="203"/>
      <c r="AD463" s="203"/>
      <c r="AE463" s="203"/>
      <c r="AF463" s="203"/>
      <c r="AG463" s="203"/>
      <c r="AH463" s="203"/>
      <c r="AI463" s="203"/>
      <c r="AJ463" s="203"/>
    </row>
    <row r="464" spans="1:36" s="32" customFormat="1">
      <c r="A464" s="131">
        <f>IF(F464&lt;&gt;"",1+MAX($A$2:A463),"")</f>
        <v>341</v>
      </c>
      <c r="B464" s="358"/>
      <c r="C464" s="137"/>
      <c r="D464" s="167" t="s">
        <v>400</v>
      </c>
      <c r="E464" s="134">
        <v>1</v>
      </c>
      <c r="F464" s="176">
        <v>0</v>
      </c>
      <c r="G464" s="177">
        <f t="shared" si="384"/>
        <v>1</v>
      </c>
      <c r="H464" s="164" t="s">
        <v>81</v>
      </c>
      <c r="I464" s="250">
        <v>3.66</v>
      </c>
      <c r="J464" s="149">
        <f t="shared" si="377"/>
        <v>3.66</v>
      </c>
      <c r="K464" s="151">
        <f>'LABOR SHEET'!C$6</f>
        <v>92</v>
      </c>
      <c r="L464" s="150">
        <f t="shared" si="378"/>
        <v>336.72</v>
      </c>
      <c r="M464" s="150">
        <f t="shared" si="379"/>
        <v>336.72</v>
      </c>
      <c r="N464" s="251">
        <v>850</v>
      </c>
      <c r="O464" s="150">
        <f t="shared" si="380"/>
        <v>850</v>
      </c>
      <c r="P464" s="150">
        <f t="shared" si="381"/>
        <v>1186.72</v>
      </c>
      <c r="Q464" s="104">
        <f t="shared" si="382"/>
        <v>1186.72</v>
      </c>
      <c r="R464" s="203"/>
      <c r="S464" s="203"/>
      <c r="T464" s="203"/>
      <c r="U464" s="203"/>
      <c r="V464" s="203"/>
      <c r="W464" s="203"/>
      <c r="X464" s="203"/>
      <c r="Y464" s="203"/>
      <c r="Z464" s="203"/>
      <c r="AA464" s="203"/>
      <c r="AB464" s="203"/>
      <c r="AC464" s="203"/>
      <c r="AD464" s="203"/>
      <c r="AE464" s="203"/>
      <c r="AF464" s="203"/>
      <c r="AG464" s="203"/>
      <c r="AH464" s="203"/>
      <c r="AI464" s="203"/>
      <c r="AJ464" s="203"/>
    </row>
    <row r="465" spans="1:36" s="32" customFormat="1">
      <c r="A465" s="131" t="str">
        <f>IF(F465&lt;&gt;"",1+MAX($A$2:A464),"")</f>
        <v/>
      </c>
      <c r="B465" s="358"/>
      <c r="C465" s="137"/>
      <c r="D465" s="167"/>
      <c r="E465" s="134"/>
      <c r="F465" s="176"/>
      <c r="G465" s="177"/>
      <c r="H465" s="164"/>
      <c r="I465" s="250"/>
      <c r="J465" s="149"/>
      <c r="K465" s="151"/>
      <c r="L465" s="150"/>
      <c r="M465" s="150"/>
      <c r="N465" s="251"/>
      <c r="O465" s="150"/>
      <c r="P465" s="150"/>
      <c r="Q465" s="104"/>
      <c r="R465" s="203"/>
      <c r="S465" s="203"/>
      <c r="T465" s="203"/>
      <c r="U465" s="203"/>
      <c r="V465" s="203"/>
      <c r="W465" s="203"/>
      <c r="X465" s="203"/>
      <c r="Y465" s="203"/>
      <c r="Z465" s="203"/>
      <c r="AA465" s="203"/>
      <c r="AB465" s="203"/>
      <c r="AC465" s="203"/>
      <c r="AD465" s="203"/>
      <c r="AE465" s="203"/>
      <c r="AF465" s="203"/>
      <c r="AG465" s="203"/>
      <c r="AH465" s="203"/>
      <c r="AI465" s="203"/>
      <c r="AJ465" s="203"/>
    </row>
    <row r="466" spans="1:36" s="32" customFormat="1">
      <c r="A466" s="131" t="str">
        <f>IF(F466&lt;&gt;"",1+MAX($A$2:A465),"")</f>
        <v/>
      </c>
      <c r="B466" s="358"/>
      <c r="C466" s="134"/>
      <c r="D466" s="221" t="s">
        <v>401</v>
      </c>
      <c r="E466" s="164"/>
      <c r="F466" s="164"/>
      <c r="G466" s="164"/>
      <c r="H466" s="164"/>
      <c r="I466" s="258"/>
      <c r="J466" s="246"/>
      <c r="K466" s="247"/>
      <c r="L466" s="150"/>
      <c r="M466" s="150"/>
      <c r="N466" s="251"/>
      <c r="O466" s="150"/>
      <c r="P466" s="150"/>
      <c r="Q466" s="152"/>
      <c r="R466" s="203"/>
      <c r="S466" s="203"/>
      <c r="T466" s="203"/>
      <c r="U466" s="203"/>
      <c r="V466" s="203"/>
      <c r="W466" s="203"/>
      <c r="X466" s="203"/>
      <c r="Y466" s="203"/>
      <c r="Z466" s="203"/>
      <c r="AA466" s="203"/>
      <c r="AB466" s="203"/>
      <c r="AC466" s="203"/>
      <c r="AD466" s="203"/>
      <c r="AE466" s="203"/>
      <c r="AF466" s="203"/>
      <c r="AG466" s="203"/>
      <c r="AH466" s="203"/>
      <c r="AI466" s="203"/>
      <c r="AJ466" s="203"/>
    </row>
    <row r="467" spans="1:36" s="32" customFormat="1">
      <c r="A467" s="131">
        <f>IF(F467&lt;&gt;"",1+MAX($A$2:A466),"")</f>
        <v>342</v>
      </c>
      <c r="B467" s="358"/>
      <c r="C467" s="137"/>
      <c r="D467" s="167" t="s">
        <v>402</v>
      </c>
      <c r="E467" s="134">
        <v>7</v>
      </c>
      <c r="F467" s="176">
        <v>0</v>
      </c>
      <c r="G467" s="177">
        <f t="shared" si="384"/>
        <v>7</v>
      </c>
      <c r="H467" s="164" t="s">
        <v>81</v>
      </c>
      <c r="I467" s="250">
        <v>0.38</v>
      </c>
      <c r="J467" s="149">
        <f t="shared" ref="J467:J470" si="385">+I467*G467</f>
        <v>2.66</v>
      </c>
      <c r="K467" s="151">
        <f>'LABOR SHEET'!C$6</f>
        <v>92</v>
      </c>
      <c r="L467" s="150">
        <f t="shared" ref="L467:L470" si="386">I467*K467</f>
        <v>34.96</v>
      </c>
      <c r="M467" s="150">
        <f t="shared" ref="M467:M470" si="387">K467*J467</f>
        <v>244.72</v>
      </c>
      <c r="N467" s="251">
        <v>48</v>
      </c>
      <c r="O467" s="150">
        <f t="shared" ref="O467:O470" si="388">N467*G467</f>
        <v>336</v>
      </c>
      <c r="P467" s="150">
        <f t="shared" ref="P467:P470" si="389">(I467*K467)+N467</f>
        <v>82.96</v>
      </c>
      <c r="Q467" s="104">
        <f t="shared" ref="Q467:Q470" si="390">P467*G467</f>
        <v>580.72</v>
      </c>
      <c r="R467" s="203"/>
      <c r="S467" s="203"/>
      <c r="T467" s="203"/>
      <c r="U467" s="203"/>
      <c r="V467" s="203"/>
      <c r="W467" s="203"/>
      <c r="X467" s="203"/>
      <c r="Y467" s="203"/>
      <c r="Z467" s="203"/>
      <c r="AA467" s="203"/>
      <c r="AB467" s="203"/>
      <c r="AC467" s="203"/>
      <c r="AD467" s="203"/>
      <c r="AE467" s="203"/>
      <c r="AF467" s="203"/>
      <c r="AG467" s="203"/>
      <c r="AH467" s="203"/>
      <c r="AI467" s="203"/>
      <c r="AJ467" s="203"/>
    </row>
    <row r="468" spans="1:36" s="32" customFormat="1">
      <c r="A468" s="131">
        <f>IF(F468&lt;&gt;"",1+MAX($A$2:A467),"")</f>
        <v>343</v>
      </c>
      <c r="B468" s="358"/>
      <c r="C468" s="137"/>
      <c r="D468" s="167" t="s">
        <v>403</v>
      </c>
      <c r="E468" s="134">
        <v>10</v>
      </c>
      <c r="F468" s="176">
        <v>0</v>
      </c>
      <c r="G468" s="177">
        <f t="shared" ref="G468:G477" si="391">E468*(1+F468)</f>
        <v>10</v>
      </c>
      <c r="H468" s="164" t="s">
        <v>81</v>
      </c>
      <c r="I468" s="250">
        <v>0.34</v>
      </c>
      <c r="J468" s="149">
        <f t="shared" si="385"/>
        <v>3.4</v>
      </c>
      <c r="K468" s="151">
        <f>'LABOR SHEET'!C$6</f>
        <v>92</v>
      </c>
      <c r="L468" s="150">
        <f t="shared" si="386"/>
        <v>31.28</v>
      </c>
      <c r="M468" s="150">
        <f t="shared" si="387"/>
        <v>312.8</v>
      </c>
      <c r="N468" s="251">
        <v>44</v>
      </c>
      <c r="O468" s="150">
        <f t="shared" si="388"/>
        <v>440</v>
      </c>
      <c r="P468" s="150">
        <f t="shared" si="389"/>
        <v>75.28</v>
      </c>
      <c r="Q468" s="104">
        <f t="shared" si="390"/>
        <v>752.8</v>
      </c>
      <c r="R468" s="203"/>
      <c r="S468" s="203"/>
      <c r="T468" s="203"/>
      <c r="U468" s="203"/>
      <c r="V468" s="203"/>
      <c r="W468" s="203"/>
      <c r="X468" s="203"/>
      <c r="Y468" s="203"/>
      <c r="Z468" s="203"/>
      <c r="AA468" s="203"/>
      <c r="AB468" s="203"/>
      <c r="AC468" s="203"/>
      <c r="AD468" s="203"/>
      <c r="AE468" s="203"/>
      <c r="AF468" s="203"/>
      <c r="AG468" s="203"/>
      <c r="AH468" s="203"/>
      <c r="AI468" s="203"/>
      <c r="AJ468" s="203"/>
    </row>
    <row r="469" spans="1:36" s="32" customFormat="1">
      <c r="A469" s="131">
        <f>IF(F469&lt;&gt;"",1+MAX($A$2:A468),"")</f>
        <v>344</v>
      </c>
      <c r="B469" s="358"/>
      <c r="C469" s="137"/>
      <c r="D469" s="167" t="s">
        <v>404</v>
      </c>
      <c r="E469" s="134">
        <v>21</v>
      </c>
      <c r="F469" s="176">
        <v>0</v>
      </c>
      <c r="G469" s="177">
        <f t="shared" si="391"/>
        <v>21</v>
      </c>
      <c r="H469" s="164" t="s">
        <v>81</v>
      </c>
      <c r="I469" s="250">
        <v>0.72</v>
      </c>
      <c r="J469" s="149">
        <f t="shared" si="385"/>
        <v>15.12</v>
      </c>
      <c r="K469" s="151">
        <f>'LABOR SHEET'!C$6</f>
        <v>92</v>
      </c>
      <c r="L469" s="150">
        <f t="shared" si="386"/>
        <v>66.239999999999995</v>
      </c>
      <c r="M469" s="150">
        <f t="shared" si="387"/>
        <v>1391.04</v>
      </c>
      <c r="N469" s="251">
        <v>88</v>
      </c>
      <c r="O469" s="150">
        <f t="shared" si="388"/>
        <v>1848</v>
      </c>
      <c r="P469" s="150">
        <f t="shared" si="389"/>
        <v>154.24</v>
      </c>
      <c r="Q469" s="104">
        <f t="shared" si="390"/>
        <v>3239.04</v>
      </c>
      <c r="R469" s="203"/>
      <c r="S469" s="203"/>
      <c r="T469" s="203"/>
      <c r="U469" s="203"/>
      <c r="V469" s="203"/>
      <c r="W469" s="203"/>
      <c r="X469" s="203"/>
      <c r="Y469" s="203"/>
      <c r="Z469" s="203"/>
      <c r="AA469" s="203"/>
      <c r="AB469" s="203"/>
      <c r="AC469" s="203"/>
      <c r="AD469" s="203"/>
      <c r="AE469" s="203"/>
      <c r="AF469" s="203"/>
      <c r="AG469" s="203"/>
      <c r="AH469" s="203"/>
      <c r="AI469" s="203"/>
      <c r="AJ469" s="203"/>
    </row>
    <row r="470" spans="1:36" s="32" customFormat="1">
      <c r="A470" s="131">
        <f>IF(F470&lt;&gt;"",1+MAX($A$2:A469),"")</f>
        <v>345</v>
      </c>
      <c r="B470" s="358"/>
      <c r="C470" s="137"/>
      <c r="D470" s="167" t="s">
        <v>405</v>
      </c>
      <c r="E470" s="134">
        <v>27</v>
      </c>
      <c r="F470" s="176">
        <v>0</v>
      </c>
      <c r="G470" s="177">
        <f t="shared" si="391"/>
        <v>27</v>
      </c>
      <c r="H470" s="164" t="s">
        <v>81</v>
      </c>
      <c r="I470" s="250">
        <v>0.88</v>
      </c>
      <c r="J470" s="149">
        <f t="shared" si="385"/>
        <v>23.76</v>
      </c>
      <c r="K470" s="151">
        <f>'LABOR SHEET'!C$6</f>
        <v>92</v>
      </c>
      <c r="L470" s="150">
        <f t="shared" si="386"/>
        <v>80.959999999999994</v>
      </c>
      <c r="M470" s="150">
        <f t="shared" si="387"/>
        <v>2185.92</v>
      </c>
      <c r="N470" s="251">
        <v>142</v>
      </c>
      <c r="O470" s="150">
        <f t="shared" si="388"/>
        <v>3834</v>
      </c>
      <c r="P470" s="150">
        <f t="shared" si="389"/>
        <v>222.96</v>
      </c>
      <c r="Q470" s="104">
        <f t="shared" si="390"/>
        <v>6019.92</v>
      </c>
      <c r="R470" s="203"/>
      <c r="S470" s="203"/>
      <c r="T470" s="203"/>
      <c r="U470" s="203"/>
      <c r="V470" s="203"/>
      <c r="W470" s="203"/>
      <c r="X470" s="203"/>
      <c r="Y470" s="203"/>
      <c r="Z470" s="203"/>
      <c r="AA470" s="203"/>
      <c r="AB470" s="203"/>
      <c r="AC470" s="203"/>
      <c r="AD470" s="203"/>
      <c r="AE470" s="203"/>
      <c r="AF470" s="203"/>
      <c r="AG470" s="203"/>
      <c r="AH470" s="203"/>
      <c r="AI470" s="203"/>
      <c r="AJ470" s="203"/>
    </row>
    <row r="471" spans="1:36" s="32" customFormat="1">
      <c r="A471" s="131" t="str">
        <f>IF(F471&lt;&gt;"",1+MAX($A$2:A470),"")</f>
        <v/>
      </c>
      <c r="B471" s="358"/>
      <c r="C471" s="137"/>
      <c r="D471" s="167"/>
      <c r="E471" s="134"/>
      <c r="F471" s="176"/>
      <c r="G471" s="177"/>
      <c r="H471" s="164"/>
      <c r="I471" s="250"/>
      <c r="J471" s="149"/>
      <c r="K471" s="151"/>
      <c r="L471" s="150"/>
      <c r="M471" s="150"/>
      <c r="N471" s="251"/>
      <c r="O471" s="150"/>
      <c r="P471" s="150"/>
      <c r="Q471" s="104"/>
      <c r="R471" s="203"/>
      <c r="S471" s="203"/>
      <c r="T471" s="203"/>
      <c r="U471" s="203"/>
      <c r="V471" s="203"/>
      <c r="W471" s="203"/>
      <c r="X471" s="203"/>
      <c r="Y471" s="203"/>
      <c r="Z471" s="203"/>
      <c r="AA471" s="203"/>
      <c r="AB471" s="203"/>
      <c r="AC471" s="203"/>
      <c r="AD471" s="203"/>
      <c r="AE471" s="203"/>
      <c r="AF471" s="203"/>
      <c r="AG471" s="203"/>
      <c r="AH471" s="203"/>
      <c r="AI471" s="203"/>
      <c r="AJ471" s="203"/>
    </row>
    <row r="472" spans="1:36" s="32" customFormat="1">
      <c r="A472" s="131" t="str">
        <f>IF(F472&lt;&gt;"",1+MAX($A$2:A471),"")</f>
        <v/>
      </c>
      <c r="B472" s="358"/>
      <c r="C472" s="134"/>
      <c r="D472" s="221" t="s">
        <v>406</v>
      </c>
      <c r="E472" s="164"/>
      <c r="F472" s="164"/>
      <c r="G472" s="164"/>
      <c r="H472" s="164"/>
      <c r="I472" s="258"/>
      <c r="J472" s="246"/>
      <c r="K472" s="247"/>
      <c r="L472" s="150"/>
      <c r="M472" s="150"/>
      <c r="N472" s="251"/>
      <c r="O472" s="150"/>
      <c r="P472" s="150"/>
      <c r="Q472" s="152"/>
      <c r="R472" s="203"/>
      <c r="S472" s="203"/>
      <c r="T472" s="203"/>
      <c r="U472" s="203"/>
      <c r="V472" s="203"/>
      <c r="W472" s="203"/>
      <c r="X472" s="203"/>
      <c r="Y472" s="203"/>
      <c r="Z472" s="203"/>
      <c r="AA472" s="203"/>
      <c r="AB472" s="203"/>
      <c r="AC472" s="203"/>
      <c r="AD472" s="203"/>
      <c r="AE472" s="203"/>
      <c r="AF472" s="203"/>
      <c r="AG472" s="203"/>
      <c r="AH472" s="203"/>
      <c r="AI472" s="203"/>
      <c r="AJ472" s="203"/>
    </row>
    <row r="473" spans="1:36" s="32" customFormat="1">
      <c r="A473" s="131">
        <f>IF(F473&lt;&gt;"",1+MAX($A$2:A472),"")</f>
        <v>346</v>
      </c>
      <c r="B473" s="358"/>
      <c r="C473" s="137"/>
      <c r="D473" s="167" t="s">
        <v>407</v>
      </c>
      <c r="E473" s="134">
        <v>36</v>
      </c>
      <c r="F473" s="176">
        <v>0</v>
      </c>
      <c r="G473" s="177">
        <f t="shared" si="391"/>
        <v>36</v>
      </c>
      <c r="H473" s="164" t="s">
        <v>81</v>
      </c>
      <c r="I473" s="250">
        <v>0.7</v>
      </c>
      <c r="J473" s="149">
        <f t="shared" ref="J473:J480" si="392">+I473*G473</f>
        <v>25.2</v>
      </c>
      <c r="K473" s="151">
        <f>'LABOR SHEET'!C$6</f>
        <v>92</v>
      </c>
      <c r="L473" s="150">
        <f t="shared" ref="L473:L480" si="393">I473*K473</f>
        <v>64.400000000000006</v>
      </c>
      <c r="M473" s="150">
        <f t="shared" ref="M473:M480" si="394">K473*J473</f>
        <v>2318.4</v>
      </c>
      <c r="N473" s="251">
        <v>30</v>
      </c>
      <c r="O473" s="150">
        <f t="shared" ref="O473:O480" si="395">N473*G473</f>
        <v>1080</v>
      </c>
      <c r="P473" s="150">
        <f t="shared" ref="P473:P480" si="396">(I473*K473)+N473</f>
        <v>94.4</v>
      </c>
      <c r="Q473" s="104">
        <f t="shared" ref="Q473:Q480" si="397">P473*G473</f>
        <v>3398.4</v>
      </c>
      <c r="R473" s="203"/>
      <c r="S473" s="203"/>
      <c r="T473" s="203"/>
      <c r="U473" s="203"/>
      <c r="V473" s="203"/>
      <c r="W473" s="203"/>
      <c r="X473" s="203"/>
      <c r="Y473" s="203"/>
      <c r="Z473" s="203"/>
      <c r="AA473" s="203"/>
      <c r="AB473" s="203"/>
      <c r="AC473" s="203"/>
      <c r="AD473" s="203"/>
      <c r="AE473" s="203"/>
      <c r="AF473" s="203"/>
      <c r="AG473" s="203"/>
      <c r="AH473" s="203"/>
      <c r="AI473" s="203"/>
      <c r="AJ473" s="203"/>
    </row>
    <row r="474" spans="1:36" s="32" customFormat="1">
      <c r="A474" s="131">
        <f>IF(F474&lt;&gt;"",1+MAX($A$2:A473),"")</f>
        <v>347</v>
      </c>
      <c r="B474" s="358"/>
      <c r="C474" s="137"/>
      <c r="D474" s="167" t="s">
        <v>408</v>
      </c>
      <c r="E474" s="134">
        <v>15</v>
      </c>
      <c r="F474" s="176">
        <v>0</v>
      </c>
      <c r="G474" s="177">
        <f t="shared" si="391"/>
        <v>15</v>
      </c>
      <c r="H474" s="164" t="s">
        <v>81</v>
      </c>
      <c r="I474" s="250">
        <v>0.55000000000000004</v>
      </c>
      <c r="J474" s="149">
        <f t="shared" si="392"/>
        <v>8.25</v>
      </c>
      <c r="K474" s="151">
        <f>'LABOR SHEET'!C$6</f>
        <v>92</v>
      </c>
      <c r="L474" s="150">
        <f t="shared" si="393"/>
        <v>50.6</v>
      </c>
      <c r="M474" s="150">
        <f t="shared" si="394"/>
        <v>759</v>
      </c>
      <c r="N474" s="251">
        <v>55</v>
      </c>
      <c r="O474" s="150">
        <f t="shared" si="395"/>
        <v>825</v>
      </c>
      <c r="P474" s="150">
        <f t="shared" si="396"/>
        <v>105.6</v>
      </c>
      <c r="Q474" s="104">
        <f t="shared" si="397"/>
        <v>1584</v>
      </c>
      <c r="R474" s="203"/>
      <c r="S474" s="203"/>
      <c r="T474" s="203"/>
      <c r="U474" s="203"/>
      <c r="V474" s="203"/>
      <c r="W474" s="203"/>
      <c r="X474" s="203"/>
      <c r="Y474" s="203"/>
      <c r="Z474" s="203"/>
      <c r="AA474" s="203"/>
      <c r="AB474" s="203"/>
      <c r="AC474" s="203"/>
      <c r="AD474" s="203"/>
      <c r="AE474" s="203"/>
      <c r="AF474" s="203"/>
      <c r="AG474" s="203"/>
      <c r="AH474" s="203"/>
      <c r="AI474" s="203"/>
      <c r="AJ474" s="203"/>
    </row>
    <row r="475" spans="1:36" s="32" customFormat="1">
      <c r="A475" s="131">
        <f>IF(F475&lt;&gt;"",1+MAX($A$2:A474),"")</f>
        <v>348</v>
      </c>
      <c r="B475" s="358"/>
      <c r="C475" s="137"/>
      <c r="D475" s="167" t="s">
        <v>409</v>
      </c>
      <c r="E475" s="134">
        <v>37</v>
      </c>
      <c r="F475" s="176">
        <v>0</v>
      </c>
      <c r="G475" s="177">
        <f t="shared" si="391"/>
        <v>37</v>
      </c>
      <c r="H475" s="164" t="s">
        <v>81</v>
      </c>
      <c r="I475" s="250">
        <v>0.42</v>
      </c>
      <c r="J475" s="149">
        <f t="shared" si="392"/>
        <v>15.54</v>
      </c>
      <c r="K475" s="151">
        <f>'LABOR SHEET'!C$6</f>
        <v>92</v>
      </c>
      <c r="L475" s="150">
        <f t="shared" si="393"/>
        <v>38.64</v>
      </c>
      <c r="M475" s="150">
        <f t="shared" si="394"/>
        <v>1429.68</v>
      </c>
      <c r="N475" s="251">
        <v>42</v>
      </c>
      <c r="O475" s="150">
        <f t="shared" si="395"/>
        <v>1554</v>
      </c>
      <c r="P475" s="150">
        <f t="shared" si="396"/>
        <v>80.64</v>
      </c>
      <c r="Q475" s="104">
        <f t="shared" si="397"/>
        <v>2983.68</v>
      </c>
      <c r="R475" s="203"/>
      <c r="S475" s="203"/>
      <c r="T475" s="203"/>
      <c r="U475" s="203"/>
      <c r="V475" s="203"/>
      <c r="W475" s="203"/>
      <c r="X475" s="203"/>
      <c r="Y475" s="203"/>
      <c r="Z475" s="203"/>
      <c r="AA475" s="203"/>
      <c r="AB475" s="203"/>
      <c r="AC475" s="203"/>
      <c r="AD475" s="203"/>
      <c r="AE475" s="203"/>
      <c r="AF475" s="203"/>
      <c r="AG475" s="203"/>
      <c r="AH475" s="203"/>
      <c r="AI475" s="203"/>
      <c r="AJ475" s="203"/>
    </row>
    <row r="476" spans="1:36" s="32" customFormat="1">
      <c r="A476" s="131">
        <f>IF(F476&lt;&gt;"",1+MAX($A$2:A475),"")</f>
        <v>349</v>
      </c>
      <c r="B476" s="358"/>
      <c r="C476" s="137"/>
      <c r="D476" s="167" t="s">
        <v>410</v>
      </c>
      <c r="E476" s="134">
        <v>80</v>
      </c>
      <c r="F476" s="176">
        <v>0</v>
      </c>
      <c r="G476" s="177">
        <f t="shared" si="391"/>
        <v>80</v>
      </c>
      <c r="H476" s="164" t="s">
        <v>81</v>
      </c>
      <c r="I476" s="250">
        <v>0.3</v>
      </c>
      <c r="J476" s="149">
        <f t="shared" si="392"/>
        <v>24</v>
      </c>
      <c r="K476" s="151">
        <f>'LABOR SHEET'!C$6</f>
        <v>92</v>
      </c>
      <c r="L476" s="150">
        <f t="shared" si="393"/>
        <v>27.6</v>
      </c>
      <c r="M476" s="150">
        <f t="shared" si="394"/>
        <v>2208</v>
      </c>
      <c r="N476" s="251">
        <v>24.1</v>
      </c>
      <c r="O476" s="150">
        <f t="shared" si="395"/>
        <v>1928</v>
      </c>
      <c r="P476" s="150">
        <f t="shared" si="396"/>
        <v>51.7</v>
      </c>
      <c r="Q476" s="104">
        <f t="shared" si="397"/>
        <v>4136</v>
      </c>
      <c r="R476" s="203"/>
      <c r="S476" s="203"/>
      <c r="T476" s="203"/>
      <c r="U476" s="203"/>
      <c r="V476" s="203"/>
      <c r="W476" s="203"/>
      <c r="X476" s="203"/>
      <c r="Y476" s="203"/>
      <c r="Z476" s="203"/>
      <c r="AA476" s="203"/>
      <c r="AB476" s="203"/>
      <c r="AC476" s="203"/>
      <c r="AD476" s="203"/>
      <c r="AE476" s="203"/>
      <c r="AF476" s="203"/>
      <c r="AG476" s="203"/>
      <c r="AH476" s="203"/>
      <c r="AI476" s="203"/>
      <c r="AJ476" s="203"/>
    </row>
    <row r="477" spans="1:36" s="32" customFormat="1">
      <c r="A477" s="131">
        <f>IF(F477&lt;&gt;"",1+MAX($A$2:A476),"")</f>
        <v>350</v>
      </c>
      <c r="B477" s="358"/>
      <c r="C477" s="137"/>
      <c r="D477" s="167" t="s">
        <v>411</v>
      </c>
      <c r="E477" s="134">
        <v>12</v>
      </c>
      <c r="F477" s="176">
        <v>0</v>
      </c>
      <c r="G477" s="177">
        <f t="shared" si="391"/>
        <v>12</v>
      </c>
      <c r="H477" s="164" t="s">
        <v>81</v>
      </c>
      <c r="I477" s="250">
        <v>0.35</v>
      </c>
      <c r="J477" s="149">
        <f t="shared" si="392"/>
        <v>4.2</v>
      </c>
      <c r="K477" s="151">
        <f>'LABOR SHEET'!C$6</f>
        <v>92</v>
      </c>
      <c r="L477" s="150">
        <f t="shared" si="393"/>
        <v>32.200000000000003</v>
      </c>
      <c r="M477" s="150">
        <f t="shared" si="394"/>
        <v>386.4</v>
      </c>
      <c r="N477" s="251">
        <v>28</v>
      </c>
      <c r="O477" s="150">
        <f t="shared" si="395"/>
        <v>336</v>
      </c>
      <c r="P477" s="150">
        <f t="shared" si="396"/>
        <v>60.2</v>
      </c>
      <c r="Q477" s="104">
        <f t="shared" si="397"/>
        <v>722.4</v>
      </c>
      <c r="R477" s="203"/>
      <c r="S477" s="203"/>
      <c r="T477" s="203"/>
      <c r="U477" s="203"/>
      <c r="V477" s="203"/>
      <c r="W477" s="203"/>
      <c r="X477" s="203"/>
      <c r="Y477" s="203"/>
      <c r="Z477" s="203"/>
      <c r="AA477" s="203"/>
      <c r="AB477" s="203"/>
      <c r="AC477" s="203"/>
      <c r="AD477" s="203"/>
      <c r="AE477" s="203"/>
      <c r="AF477" s="203"/>
      <c r="AG477" s="203"/>
      <c r="AH477" s="203"/>
      <c r="AI477" s="203"/>
      <c r="AJ477" s="203"/>
    </row>
    <row r="478" spans="1:36" s="32" customFormat="1">
      <c r="A478" s="131">
        <f>IF(F478&lt;&gt;"",1+MAX($A$2:A477),"")</f>
        <v>351</v>
      </c>
      <c r="B478" s="358"/>
      <c r="C478" s="137"/>
      <c r="D478" s="167" t="s">
        <v>412</v>
      </c>
      <c r="E478" s="134">
        <v>2</v>
      </c>
      <c r="F478" s="176">
        <v>0</v>
      </c>
      <c r="G478" s="177">
        <f t="shared" ref="G478:G503" si="398">E478*(1+F478)</f>
        <v>2</v>
      </c>
      <c r="H478" s="164" t="s">
        <v>81</v>
      </c>
      <c r="I478" s="250">
        <v>0.35</v>
      </c>
      <c r="J478" s="149">
        <f t="shared" si="392"/>
        <v>0.7</v>
      </c>
      <c r="K478" s="151">
        <f>'LABOR SHEET'!C$6</f>
        <v>92</v>
      </c>
      <c r="L478" s="150">
        <f t="shared" si="393"/>
        <v>32.200000000000003</v>
      </c>
      <c r="M478" s="150">
        <f t="shared" si="394"/>
        <v>64.400000000000006</v>
      </c>
      <c r="N478" s="251">
        <v>28</v>
      </c>
      <c r="O478" s="150">
        <f t="shared" si="395"/>
        <v>56</v>
      </c>
      <c r="P478" s="150">
        <f t="shared" si="396"/>
        <v>60.2</v>
      </c>
      <c r="Q478" s="104">
        <f t="shared" si="397"/>
        <v>120.4</v>
      </c>
      <c r="R478" s="203"/>
      <c r="S478" s="203"/>
      <c r="T478" s="203"/>
      <c r="U478" s="203"/>
      <c r="V478" s="203"/>
      <c r="W478" s="203"/>
      <c r="X478" s="203"/>
      <c r="Y478" s="203"/>
      <c r="Z478" s="203"/>
      <c r="AA478" s="203"/>
      <c r="AB478" s="203"/>
      <c r="AC478" s="203"/>
      <c r="AD478" s="203"/>
      <c r="AE478" s="203"/>
      <c r="AF478" s="203"/>
      <c r="AG478" s="203"/>
      <c r="AH478" s="203"/>
      <c r="AI478" s="203"/>
      <c r="AJ478" s="203"/>
    </row>
    <row r="479" spans="1:36" s="32" customFormat="1">
      <c r="A479" s="131">
        <f>IF(F479&lt;&gt;"",1+MAX($A$2:A478),"")</f>
        <v>352</v>
      </c>
      <c r="B479" s="358"/>
      <c r="C479" s="137"/>
      <c r="D479" s="167" t="s">
        <v>413</v>
      </c>
      <c r="E479" s="134">
        <v>2</v>
      </c>
      <c r="F479" s="176">
        <v>0</v>
      </c>
      <c r="G479" s="177">
        <f t="shared" si="398"/>
        <v>2</v>
      </c>
      <c r="H479" s="164" t="s">
        <v>81</v>
      </c>
      <c r="I479" s="250">
        <v>0.85</v>
      </c>
      <c r="J479" s="149">
        <f t="shared" si="392"/>
        <v>1.7</v>
      </c>
      <c r="K479" s="151">
        <f>'LABOR SHEET'!C$6</f>
        <v>92</v>
      </c>
      <c r="L479" s="150">
        <f t="shared" si="393"/>
        <v>78.2</v>
      </c>
      <c r="M479" s="150">
        <f t="shared" si="394"/>
        <v>156.4</v>
      </c>
      <c r="N479" s="251">
        <v>210</v>
      </c>
      <c r="O479" s="150">
        <f t="shared" si="395"/>
        <v>420</v>
      </c>
      <c r="P479" s="150">
        <f t="shared" si="396"/>
        <v>288.2</v>
      </c>
      <c r="Q479" s="104">
        <f t="shared" si="397"/>
        <v>576.4</v>
      </c>
      <c r="R479" s="203"/>
      <c r="S479" s="203"/>
      <c r="T479" s="203"/>
      <c r="U479" s="203"/>
      <c r="V479" s="203"/>
      <c r="W479" s="203"/>
      <c r="X479" s="203"/>
      <c r="Y479" s="203"/>
      <c r="Z479" s="203"/>
      <c r="AA479" s="203"/>
      <c r="AB479" s="203"/>
      <c r="AC479" s="203"/>
      <c r="AD479" s="203"/>
      <c r="AE479" s="203"/>
      <c r="AF479" s="203"/>
      <c r="AG479" s="203"/>
      <c r="AH479" s="203"/>
      <c r="AI479" s="203"/>
      <c r="AJ479" s="203"/>
    </row>
    <row r="480" spans="1:36" s="32" customFormat="1">
      <c r="A480" s="131">
        <f>IF(F480&lt;&gt;"",1+MAX($A$2:A479),"")</f>
        <v>353</v>
      </c>
      <c r="B480" s="358"/>
      <c r="C480" s="137"/>
      <c r="D480" s="167" t="s">
        <v>414</v>
      </c>
      <c r="E480" s="134">
        <v>8</v>
      </c>
      <c r="F480" s="176">
        <v>0</v>
      </c>
      <c r="G480" s="177">
        <f t="shared" si="398"/>
        <v>8</v>
      </c>
      <c r="H480" s="164" t="s">
        <v>81</v>
      </c>
      <c r="I480" s="250">
        <v>0.8</v>
      </c>
      <c r="J480" s="149">
        <f t="shared" si="392"/>
        <v>6.4</v>
      </c>
      <c r="K480" s="151">
        <f>'LABOR SHEET'!C$6</f>
        <v>92</v>
      </c>
      <c r="L480" s="150">
        <f t="shared" si="393"/>
        <v>73.599999999999994</v>
      </c>
      <c r="M480" s="150">
        <f t="shared" si="394"/>
        <v>588.79999999999995</v>
      </c>
      <c r="N480" s="251">
        <v>175</v>
      </c>
      <c r="O480" s="150">
        <f t="shared" si="395"/>
        <v>1400</v>
      </c>
      <c r="P480" s="150">
        <f t="shared" si="396"/>
        <v>248.6</v>
      </c>
      <c r="Q480" s="104">
        <f t="shared" si="397"/>
        <v>1988.8</v>
      </c>
      <c r="R480" s="203"/>
      <c r="S480" s="203"/>
      <c r="T480" s="203"/>
      <c r="U480" s="203"/>
      <c r="V480" s="203"/>
      <c r="W480" s="203"/>
      <c r="X480" s="203"/>
      <c r="Y480" s="203"/>
      <c r="Z480" s="203"/>
      <c r="AA480" s="203"/>
      <c r="AB480" s="203"/>
      <c r="AC480" s="203"/>
      <c r="AD480" s="203"/>
      <c r="AE480" s="203"/>
      <c r="AF480" s="203"/>
      <c r="AG480" s="203"/>
      <c r="AH480" s="203"/>
      <c r="AI480" s="203"/>
      <c r="AJ480" s="203"/>
    </row>
    <row r="481" spans="1:36" s="32" customFormat="1">
      <c r="A481" s="131" t="str">
        <f>IF(F481&lt;&gt;"",1+MAX($A$2:A480),"")</f>
        <v/>
      </c>
      <c r="B481" s="358"/>
      <c r="C481" s="137"/>
      <c r="D481" s="167"/>
      <c r="E481" s="134"/>
      <c r="F481" s="176"/>
      <c r="G481" s="177"/>
      <c r="H481" s="164"/>
      <c r="I481" s="250"/>
      <c r="J481" s="149"/>
      <c r="K481" s="151"/>
      <c r="L481" s="150"/>
      <c r="M481" s="150"/>
      <c r="N481" s="251"/>
      <c r="O481" s="150"/>
      <c r="P481" s="150"/>
      <c r="Q481" s="104"/>
      <c r="R481" s="203"/>
      <c r="S481" s="203"/>
      <c r="T481" s="203"/>
      <c r="U481" s="203"/>
      <c r="V481" s="203"/>
      <c r="W481" s="203"/>
      <c r="X481" s="203"/>
      <c r="Y481" s="203"/>
      <c r="Z481" s="203"/>
      <c r="AA481" s="203"/>
      <c r="AB481" s="203"/>
      <c r="AC481" s="203"/>
      <c r="AD481" s="203"/>
      <c r="AE481" s="203"/>
      <c r="AF481" s="203"/>
      <c r="AG481" s="203"/>
      <c r="AH481" s="203"/>
      <c r="AI481" s="203"/>
      <c r="AJ481" s="203"/>
    </row>
    <row r="482" spans="1:36" s="32" customFormat="1">
      <c r="A482" s="131" t="str">
        <f>IF(F482&lt;&gt;"",1+MAX($A$2:A481),"")</f>
        <v/>
      </c>
      <c r="B482" s="358"/>
      <c r="C482" s="134"/>
      <c r="D482" s="221" t="s">
        <v>415</v>
      </c>
      <c r="E482" s="164"/>
      <c r="F482" s="164"/>
      <c r="G482" s="164"/>
      <c r="H482" s="164"/>
      <c r="I482" s="258"/>
      <c r="J482" s="246"/>
      <c r="K482" s="247"/>
      <c r="L482" s="150"/>
      <c r="M482" s="150"/>
      <c r="N482" s="251"/>
      <c r="O482" s="150"/>
      <c r="P482" s="150"/>
      <c r="Q482" s="152"/>
      <c r="R482" s="203"/>
      <c r="S482" s="203"/>
      <c r="T482" s="203"/>
      <c r="U482" s="203"/>
      <c r="V482" s="203"/>
      <c r="W482" s="203"/>
      <c r="X482" s="203"/>
      <c r="Y482" s="203"/>
      <c r="Z482" s="203"/>
      <c r="AA482" s="203"/>
      <c r="AB482" s="203"/>
      <c r="AC482" s="203"/>
      <c r="AD482" s="203"/>
      <c r="AE482" s="203"/>
      <c r="AF482" s="203"/>
      <c r="AG482" s="203"/>
      <c r="AH482" s="203"/>
      <c r="AI482" s="203"/>
      <c r="AJ482" s="203"/>
    </row>
    <row r="483" spans="1:36" s="32" customFormat="1">
      <c r="A483" s="131">
        <f>IF(F483&lt;&gt;"",1+MAX($A$2:A482),"")</f>
        <v>354</v>
      </c>
      <c r="B483" s="358"/>
      <c r="C483" s="137"/>
      <c r="D483" s="167" t="s">
        <v>416</v>
      </c>
      <c r="E483" s="134">
        <v>1</v>
      </c>
      <c r="F483" s="176">
        <v>0</v>
      </c>
      <c r="G483" s="177">
        <f t="shared" si="398"/>
        <v>1</v>
      </c>
      <c r="H483" s="164" t="s">
        <v>81</v>
      </c>
      <c r="I483" s="250">
        <v>0.3</v>
      </c>
      <c r="J483" s="149">
        <f t="shared" ref="J483" si="399">+I483*G483</f>
        <v>0.3</v>
      </c>
      <c r="K483" s="151">
        <f>'LABOR SHEET'!C$6</f>
        <v>92</v>
      </c>
      <c r="L483" s="150">
        <f t="shared" ref="L483" si="400">I483*K483</f>
        <v>27.6</v>
      </c>
      <c r="M483" s="150">
        <f t="shared" ref="M483" si="401">K483*J483</f>
        <v>27.6</v>
      </c>
      <c r="N483" s="251">
        <v>27.4</v>
      </c>
      <c r="O483" s="150">
        <f t="shared" ref="O483" si="402">N483*G483</f>
        <v>27.4</v>
      </c>
      <c r="P483" s="150">
        <f t="shared" ref="P483" si="403">(I483*K483)+N483</f>
        <v>55</v>
      </c>
      <c r="Q483" s="104">
        <f t="shared" ref="Q483" si="404">P483*G483</f>
        <v>55</v>
      </c>
      <c r="R483" s="203"/>
      <c r="S483" s="203"/>
      <c r="T483" s="203"/>
      <c r="U483" s="203"/>
      <c r="V483" s="203"/>
      <c r="W483" s="203"/>
      <c r="X483" s="203"/>
      <c r="Y483" s="203"/>
      <c r="Z483" s="203"/>
      <c r="AA483" s="203"/>
      <c r="AB483" s="203"/>
      <c r="AC483" s="203"/>
      <c r="AD483" s="203"/>
      <c r="AE483" s="203"/>
      <c r="AF483" s="203"/>
      <c r="AG483" s="203"/>
      <c r="AH483" s="203"/>
      <c r="AI483" s="203"/>
      <c r="AJ483" s="203"/>
    </row>
    <row r="484" spans="1:36" s="32" customFormat="1">
      <c r="A484" s="131">
        <f>IF(F484&lt;&gt;"",1+MAX($A$2:A483),"")</f>
        <v>355</v>
      </c>
      <c r="B484" s="358"/>
      <c r="C484" s="137"/>
      <c r="D484" s="167" t="s">
        <v>417</v>
      </c>
      <c r="E484" s="134">
        <v>1</v>
      </c>
      <c r="F484" s="176">
        <v>0</v>
      </c>
      <c r="G484" s="177">
        <f t="shared" si="398"/>
        <v>1</v>
      </c>
      <c r="H484" s="164" t="s">
        <v>81</v>
      </c>
      <c r="I484" s="250">
        <v>0.3</v>
      </c>
      <c r="J484" s="149">
        <f t="shared" ref="J484:J503" si="405">+I484*G484</f>
        <v>0.3</v>
      </c>
      <c r="K484" s="151">
        <f>'LABOR SHEET'!C$6</f>
        <v>92</v>
      </c>
      <c r="L484" s="150">
        <f t="shared" ref="L484:L503" si="406">I484*K484</f>
        <v>27.6</v>
      </c>
      <c r="M484" s="150">
        <f t="shared" ref="M484:M503" si="407">K484*J484</f>
        <v>27.6</v>
      </c>
      <c r="N484" s="251">
        <v>27.4</v>
      </c>
      <c r="O484" s="150">
        <f t="shared" ref="O484:O503" si="408">N484*G484</f>
        <v>27.4</v>
      </c>
      <c r="P484" s="150">
        <f t="shared" ref="P484:P503" si="409">(I484*K484)+N484</f>
        <v>55</v>
      </c>
      <c r="Q484" s="104">
        <f t="shared" ref="Q484:Q503" si="410">P484*G484</f>
        <v>55</v>
      </c>
      <c r="R484" s="203"/>
      <c r="S484" s="203"/>
      <c r="T484" s="203"/>
      <c r="U484" s="203"/>
      <c r="V484" s="203"/>
      <c r="W484" s="203"/>
      <c r="X484" s="203"/>
      <c r="Y484" s="203"/>
      <c r="Z484" s="203"/>
      <c r="AA484" s="203"/>
      <c r="AB484" s="203"/>
      <c r="AC484" s="203"/>
      <c r="AD484" s="203"/>
      <c r="AE484" s="203"/>
      <c r="AF484" s="203"/>
      <c r="AG484" s="203"/>
      <c r="AH484" s="203"/>
      <c r="AI484" s="203"/>
      <c r="AJ484" s="203"/>
    </row>
    <row r="485" spans="1:36" s="32" customFormat="1">
      <c r="A485" s="131">
        <f>IF(F485&lt;&gt;"",1+MAX($A$2:A484),"")</f>
        <v>356</v>
      </c>
      <c r="B485" s="358"/>
      <c r="C485" s="137"/>
      <c r="D485" s="167" t="s">
        <v>418</v>
      </c>
      <c r="E485" s="134">
        <v>1</v>
      </c>
      <c r="F485" s="176">
        <v>0</v>
      </c>
      <c r="G485" s="177">
        <f t="shared" si="398"/>
        <v>1</v>
      </c>
      <c r="H485" s="164" t="s">
        <v>81</v>
      </c>
      <c r="I485" s="250">
        <v>0.3</v>
      </c>
      <c r="J485" s="149">
        <f t="shared" si="405"/>
        <v>0.3</v>
      </c>
      <c r="K485" s="151">
        <f>'LABOR SHEET'!C$6</f>
        <v>92</v>
      </c>
      <c r="L485" s="150">
        <f t="shared" si="406"/>
        <v>27.6</v>
      </c>
      <c r="M485" s="150">
        <f t="shared" si="407"/>
        <v>27.6</v>
      </c>
      <c r="N485" s="251">
        <v>27.4</v>
      </c>
      <c r="O485" s="150">
        <f t="shared" si="408"/>
        <v>27.4</v>
      </c>
      <c r="P485" s="150">
        <f t="shared" si="409"/>
        <v>55</v>
      </c>
      <c r="Q485" s="104">
        <f t="shared" si="410"/>
        <v>55</v>
      </c>
      <c r="R485" s="203"/>
      <c r="S485" s="203"/>
      <c r="T485" s="203"/>
      <c r="U485" s="203"/>
      <c r="V485" s="203"/>
      <c r="W485" s="203"/>
      <c r="X485" s="203"/>
      <c r="Y485" s="203"/>
      <c r="Z485" s="203"/>
      <c r="AA485" s="203"/>
      <c r="AB485" s="203"/>
      <c r="AC485" s="203"/>
      <c r="AD485" s="203"/>
      <c r="AE485" s="203"/>
      <c r="AF485" s="203"/>
      <c r="AG485" s="203"/>
      <c r="AH485" s="203"/>
      <c r="AI485" s="203"/>
      <c r="AJ485" s="203"/>
    </row>
    <row r="486" spans="1:36" s="32" customFormat="1">
      <c r="A486" s="131">
        <f>IF(F486&lt;&gt;"",1+MAX($A$2:A485),"")</f>
        <v>357</v>
      </c>
      <c r="B486" s="358"/>
      <c r="C486" s="137"/>
      <c r="D486" s="167" t="s">
        <v>419</v>
      </c>
      <c r="E486" s="134">
        <v>1</v>
      </c>
      <c r="F486" s="176">
        <v>0</v>
      </c>
      <c r="G486" s="177">
        <f t="shared" si="398"/>
        <v>1</v>
      </c>
      <c r="H486" s="164" t="s">
        <v>81</v>
      </c>
      <c r="I486" s="250">
        <v>0.3</v>
      </c>
      <c r="J486" s="149">
        <f t="shared" si="405"/>
        <v>0.3</v>
      </c>
      <c r="K486" s="151">
        <f>'LABOR SHEET'!C$6</f>
        <v>92</v>
      </c>
      <c r="L486" s="150">
        <f t="shared" si="406"/>
        <v>27.6</v>
      </c>
      <c r="M486" s="150">
        <f t="shared" si="407"/>
        <v>27.6</v>
      </c>
      <c r="N486" s="251">
        <v>27.4</v>
      </c>
      <c r="O486" s="150">
        <f t="shared" si="408"/>
        <v>27.4</v>
      </c>
      <c r="P486" s="150">
        <f t="shared" si="409"/>
        <v>55</v>
      </c>
      <c r="Q486" s="104">
        <f t="shared" si="410"/>
        <v>55</v>
      </c>
      <c r="R486" s="203"/>
      <c r="S486" s="203"/>
      <c r="T486" s="203"/>
      <c r="U486" s="203"/>
      <c r="V486" s="203"/>
      <c r="W486" s="203"/>
      <c r="X486" s="203"/>
      <c r="Y486" s="203"/>
      <c r="Z486" s="203"/>
      <c r="AA486" s="203"/>
      <c r="AB486" s="203"/>
      <c r="AC486" s="203"/>
      <c r="AD486" s="203"/>
      <c r="AE486" s="203"/>
      <c r="AF486" s="203"/>
      <c r="AG486" s="203"/>
      <c r="AH486" s="203"/>
      <c r="AI486" s="203"/>
      <c r="AJ486" s="203"/>
    </row>
    <row r="487" spans="1:36" s="32" customFormat="1">
      <c r="A487" s="131">
        <f>IF(F487&lt;&gt;"",1+MAX($A$2:A486),"")</f>
        <v>358</v>
      </c>
      <c r="B487" s="358"/>
      <c r="C487" s="137"/>
      <c r="D487" s="167" t="s">
        <v>420</v>
      </c>
      <c r="E487" s="134">
        <v>1</v>
      </c>
      <c r="F487" s="176">
        <v>0</v>
      </c>
      <c r="G487" s="177">
        <f t="shared" si="398"/>
        <v>1</v>
      </c>
      <c r="H487" s="164" t="s">
        <v>81</v>
      </c>
      <c r="I487" s="250">
        <v>0.3</v>
      </c>
      <c r="J487" s="149">
        <f t="shared" si="405"/>
        <v>0.3</v>
      </c>
      <c r="K487" s="151">
        <f>'LABOR SHEET'!C$6</f>
        <v>92</v>
      </c>
      <c r="L487" s="150">
        <f t="shared" si="406"/>
        <v>27.6</v>
      </c>
      <c r="M487" s="150">
        <f t="shared" si="407"/>
        <v>27.6</v>
      </c>
      <c r="N487" s="251">
        <v>27.4</v>
      </c>
      <c r="O487" s="150">
        <f t="shared" si="408"/>
        <v>27.4</v>
      </c>
      <c r="P487" s="150">
        <f t="shared" si="409"/>
        <v>55</v>
      </c>
      <c r="Q487" s="104">
        <f t="shared" si="410"/>
        <v>55</v>
      </c>
      <c r="R487" s="203"/>
      <c r="S487" s="203"/>
      <c r="T487" s="203"/>
      <c r="U487" s="203"/>
      <c r="V487" s="203"/>
      <c r="W487" s="203"/>
      <c r="X487" s="203"/>
      <c r="Y487" s="203"/>
      <c r="Z487" s="203"/>
      <c r="AA487" s="203"/>
      <c r="AB487" s="203"/>
      <c r="AC487" s="203"/>
      <c r="AD487" s="203"/>
      <c r="AE487" s="203"/>
      <c r="AF487" s="203"/>
      <c r="AG487" s="203"/>
      <c r="AH487" s="203"/>
      <c r="AI487" s="203"/>
      <c r="AJ487" s="203"/>
    </row>
    <row r="488" spans="1:36" s="32" customFormat="1">
      <c r="A488" s="131">
        <f>IF(F488&lt;&gt;"",1+MAX($A$2:A487),"")</f>
        <v>359</v>
      </c>
      <c r="B488" s="358"/>
      <c r="C488" s="137"/>
      <c r="D488" s="167" t="s">
        <v>421</v>
      </c>
      <c r="E488" s="134">
        <v>1</v>
      </c>
      <c r="F488" s="176">
        <v>0</v>
      </c>
      <c r="G488" s="177">
        <f t="shared" si="398"/>
        <v>1</v>
      </c>
      <c r="H488" s="164" t="s">
        <v>81</v>
      </c>
      <c r="I488" s="250">
        <v>0.3</v>
      </c>
      <c r="J488" s="149">
        <f t="shared" si="405"/>
        <v>0.3</v>
      </c>
      <c r="K488" s="151">
        <f>'LABOR SHEET'!C$6</f>
        <v>92</v>
      </c>
      <c r="L488" s="150">
        <f t="shared" si="406"/>
        <v>27.6</v>
      </c>
      <c r="M488" s="150">
        <f t="shared" si="407"/>
        <v>27.6</v>
      </c>
      <c r="N488" s="251">
        <v>27.4</v>
      </c>
      <c r="O488" s="150">
        <f t="shared" si="408"/>
        <v>27.4</v>
      </c>
      <c r="P488" s="150">
        <f t="shared" si="409"/>
        <v>55</v>
      </c>
      <c r="Q488" s="104">
        <f t="shared" si="410"/>
        <v>55</v>
      </c>
      <c r="R488" s="203"/>
      <c r="S488" s="203"/>
      <c r="T488" s="203"/>
      <c r="U488" s="203"/>
      <c r="V488" s="203"/>
      <c r="W488" s="203"/>
      <c r="X488" s="203"/>
      <c r="Y488" s="203"/>
      <c r="Z488" s="203"/>
      <c r="AA488" s="203"/>
      <c r="AB488" s="203"/>
      <c r="AC488" s="203"/>
      <c r="AD488" s="203"/>
      <c r="AE488" s="203"/>
      <c r="AF488" s="203"/>
      <c r="AG488" s="203"/>
      <c r="AH488" s="203"/>
      <c r="AI488" s="203"/>
      <c r="AJ488" s="203"/>
    </row>
    <row r="489" spans="1:36" s="32" customFormat="1">
      <c r="A489" s="131">
        <f>IF(F489&lt;&gt;"",1+MAX($A$2:A488),"")</f>
        <v>360</v>
      </c>
      <c r="B489" s="358"/>
      <c r="C489" s="137"/>
      <c r="D489" s="167" t="s">
        <v>422</v>
      </c>
      <c r="E489" s="134">
        <v>1</v>
      </c>
      <c r="F489" s="176">
        <v>0</v>
      </c>
      <c r="G489" s="177">
        <f t="shared" si="398"/>
        <v>1</v>
      </c>
      <c r="H489" s="164" t="s">
        <v>81</v>
      </c>
      <c r="I489" s="250">
        <v>0.3</v>
      </c>
      <c r="J489" s="149">
        <f t="shared" si="405"/>
        <v>0.3</v>
      </c>
      <c r="K489" s="151">
        <f>'LABOR SHEET'!C$6</f>
        <v>92</v>
      </c>
      <c r="L489" s="150">
        <f t="shared" si="406"/>
        <v>27.6</v>
      </c>
      <c r="M489" s="150">
        <f t="shared" si="407"/>
        <v>27.6</v>
      </c>
      <c r="N489" s="251">
        <v>27.4</v>
      </c>
      <c r="O489" s="150">
        <f t="shared" si="408"/>
        <v>27.4</v>
      </c>
      <c r="P489" s="150">
        <f t="shared" si="409"/>
        <v>55</v>
      </c>
      <c r="Q489" s="104">
        <f t="shared" si="410"/>
        <v>55</v>
      </c>
      <c r="R489" s="203"/>
      <c r="S489" s="203"/>
      <c r="T489" s="203"/>
      <c r="U489" s="203"/>
      <c r="V489" s="203"/>
      <c r="W489" s="203"/>
      <c r="X489" s="203"/>
      <c r="Y489" s="203"/>
      <c r="Z489" s="203"/>
      <c r="AA489" s="203"/>
      <c r="AB489" s="203"/>
      <c r="AC489" s="203"/>
      <c r="AD489" s="203"/>
      <c r="AE489" s="203"/>
      <c r="AF489" s="203"/>
      <c r="AG489" s="203"/>
      <c r="AH489" s="203"/>
      <c r="AI489" s="203"/>
      <c r="AJ489" s="203"/>
    </row>
    <row r="490" spans="1:36" s="32" customFormat="1">
      <c r="A490" s="131">
        <f>IF(F490&lt;&gt;"",1+MAX($A$2:A489),"")</f>
        <v>361</v>
      </c>
      <c r="B490" s="358"/>
      <c r="C490" s="137"/>
      <c r="D490" s="167" t="s">
        <v>423</v>
      </c>
      <c r="E490" s="134">
        <v>1</v>
      </c>
      <c r="F490" s="176">
        <v>0</v>
      </c>
      <c r="G490" s="177">
        <f t="shared" si="398"/>
        <v>1</v>
      </c>
      <c r="H490" s="164" t="s">
        <v>81</v>
      </c>
      <c r="I490" s="250">
        <v>0.3</v>
      </c>
      <c r="J490" s="149">
        <f t="shared" si="405"/>
        <v>0.3</v>
      </c>
      <c r="K490" s="151">
        <f>'LABOR SHEET'!C$6</f>
        <v>92</v>
      </c>
      <c r="L490" s="150">
        <f t="shared" si="406"/>
        <v>27.6</v>
      </c>
      <c r="M490" s="150">
        <f t="shared" si="407"/>
        <v>27.6</v>
      </c>
      <c r="N490" s="251">
        <v>27.4</v>
      </c>
      <c r="O490" s="150">
        <f t="shared" si="408"/>
        <v>27.4</v>
      </c>
      <c r="P490" s="150">
        <f t="shared" si="409"/>
        <v>55</v>
      </c>
      <c r="Q490" s="104">
        <f t="shared" si="410"/>
        <v>55</v>
      </c>
      <c r="R490" s="203"/>
      <c r="S490" s="203"/>
      <c r="T490" s="203"/>
      <c r="U490" s="203"/>
      <c r="V490" s="203"/>
      <c r="W490" s="203"/>
      <c r="X490" s="203"/>
      <c r="Y490" s="203"/>
      <c r="Z490" s="203"/>
      <c r="AA490" s="203"/>
      <c r="AB490" s="203"/>
      <c r="AC490" s="203"/>
      <c r="AD490" s="203"/>
      <c r="AE490" s="203"/>
      <c r="AF490" s="203"/>
      <c r="AG490" s="203"/>
      <c r="AH490" s="203"/>
      <c r="AI490" s="203"/>
      <c r="AJ490" s="203"/>
    </row>
    <row r="491" spans="1:36" s="32" customFormat="1">
      <c r="A491" s="131">
        <f>IF(F491&lt;&gt;"",1+MAX($A$2:A490),"")</f>
        <v>362</v>
      </c>
      <c r="B491" s="358"/>
      <c r="C491" s="137"/>
      <c r="D491" s="167" t="s">
        <v>424</v>
      </c>
      <c r="E491" s="134">
        <v>1</v>
      </c>
      <c r="F491" s="176">
        <v>0</v>
      </c>
      <c r="G491" s="177">
        <f t="shared" si="398"/>
        <v>1</v>
      </c>
      <c r="H491" s="164" t="s">
        <v>81</v>
      </c>
      <c r="I491" s="250">
        <v>0.3</v>
      </c>
      <c r="J491" s="149">
        <f t="shared" si="405"/>
        <v>0.3</v>
      </c>
      <c r="K491" s="151">
        <f>'LABOR SHEET'!C$6</f>
        <v>92</v>
      </c>
      <c r="L491" s="150">
        <f t="shared" si="406"/>
        <v>27.6</v>
      </c>
      <c r="M491" s="150">
        <f t="shared" si="407"/>
        <v>27.6</v>
      </c>
      <c r="N491" s="251">
        <v>27.4</v>
      </c>
      <c r="O491" s="150">
        <f t="shared" si="408"/>
        <v>27.4</v>
      </c>
      <c r="P491" s="150">
        <f t="shared" si="409"/>
        <v>55</v>
      </c>
      <c r="Q491" s="104">
        <f t="shared" si="410"/>
        <v>55</v>
      </c>
      <c r="R491" s="203"/>
      <c r="S491" s="203"/>
      <c r="T491" s="203"/>
      <c r="U491" s="203"/>
      <c r="V491" s="203"/>
      <c r="W491" s="203"/>
      <c r="X491" s="203"/>
      <c r="Y491" s="203"/>
      <c r="Z491" s="203"/>
      <c r="AA491" s="203"/>
      <c r="AB491" s="203"/>
      <c r="AC491" s="203"/>
      <c r="AD491" s="203"/>
      <c r="AE491" s="203"/>
      <c r="AF491" s="203"/>
      <c r="AG491" s="203"/>
      <c r="AH491" s="203"/>
      <c r="AI491" s="203"/>
      <c r="AJ491" s="203"/>
    </row>
    <row r="492" spans="1:36" s="32" customFormat="1">
      <c r="A492" s="131">
        <f>IF(F492&lt;&gt;"",1+MAX($A$2:A491),"")</f>
        <v>363</v>
      </c>
      <c r="B492" s="358"/>
      <c r="C492" s="137"/>
      <c r="D492" s="167" t="s">
        <v>425</v>
      </c>
      <c r="E492" s="134">
        <v>1</v>
      </c>
      <c r="F492" s="176">
        <v>0</v>
      </c>
      <c r="G492" s="177">
        <f t="shared" si="398"/>
        <v>1</v>
      </c>
      <c r="H492" s="164" t="s">
        <v>81</v>
      </c>
      <c r="I492" s="250">
        <v>0.3</v>
      </c>
      <c r="J492" s="149">
        <f t="shared" si="405"/>
        <v>0.3</v>
      </c>
      <c r="K492" s="151">
        <f>'LABOR SHEET'!C$6</f>
        <v>92</v>
      </c>
      <c r="L492" s="150">
        <f t="shared" si="406"/>
        <v>27.6</v>
      </c>
      <c r="M492" s="150">
        <f t="shared" si="407"/>
        <v>27.6</v>
      </c>
      <c r="N492" s="251">
        <v>27.4</v>
      </c>
      <c r="O492" s="150">
        <f t="shared" si="408"/>
        <v>27.4</v>
      </c>
      <c r="P492" s="150">
        <f t="shared" si="409"/>
        <v>55</v>
      </c>
      <c r="Q492" s="104">
        <f t="shared" si="410"/>
        <v>55</v>
      </c>
      <c r="R492" s="203"/>
      <c r="S492" s="203"/>
      <c r="T492" s="203"/>
      <c r="U492" s="203"/>
      <c r="V492" s="203"/>
      <c r="W492" s="203"/>
      <c r="X492" s="203"/>
      <c r="Y492" s="203"/>
      <c r="Z492" s="203"/>
      <c r="AA492" s="203"/>
      <c r="AB492" s="203"/>
      <c r="AC492" s="203"/>
      <c r="AD492" s="203"/>
      <c r="AE492" s="203"/>
      <c r="AF492" s="203"/>
      <c r="AG492" s="203"/>
      <c r="AH492" s="203"/>
      <c r="AI492" s="203"/>
      <c r="AJ492" s="203"/>
    </row>
    <row r="493" spans="1:36" s="32" customFormat="1">
      <c r="A493" s="131">
        <f>IF(F493&lt;&gt;"",1+MAX($A$2:A492),"")</f>
        <v>364</v>
      </c>
      <c r="B493" s="358"/>
      <c r="C493" s="137"/>
      <c r="D493" s="167" t="s">
        <v>426</v>
      </c>
      <c r="E493" s="134">
        <v>1</v>
      </c>
      <c r="F493" s="176">
        <v>0</v>
      </c>
      <c r="G493" s="177">
        <f t="shared" si="398"/>
        <v>1</v>
      </c>
      <c r="H493" s="164" t="s">
        <v>81</v>
      </c>
      <c r="I493" s="250">
        <v>0.3</v>
      </c>
      <c r="J493" s="149">
        <f t="shared" si="405"/>
        <v>0.3</v>
      </c>
      <c r="K493" s="151">
        <f>'LABOR SHEET'!C$6</f>
        <v>92</v>
      </c>
      <c r="L493" s="150">
        <f t="shared" si="406"/>
        <v>27.6</v>
      </c>
      <c r="M493" s="150">
        <f t="shared" si="407"/>
        <v>27.6</v>
      </c>
      <c r="N493" s="251">
        <v>27.4</v>
      </c>
      <c r="O493" s="150">
        <f t="shared" si="408"/>
        <v>27.4</v>
      </c>
      <c r="P493" s="150">
        <f t="shared" si="409"/>
        <v>55</v>
      </c>
      <c r="Q493" s="104">
        <f t="shared" si="410"/>
        <v>55</v>
      </c>
      <c r="R493" s="203"/>
      <c r="S493" s="203"/>
      <c r="T493" s="203"/>
      <c r="U493" s="203"/>
      <c r="V493" s="203"/>
      <c r="W493" s="203"/>
      <c r="X493" s="203"/>
      <c r="Y493" s="203"/>
      <c r="Z493" s="203"/>
      <c r="AA493" s="203"/>
      <c r="AB493" s="203"/>
      <c r="AC493" s="203"/>
      <c r="AD493" s="203"/>
      <c r="AE493" s="203"/>
      <c r="AF493" s="203"/>
      <c r="AG493" s="203"/>
      <c r="AH493" s="203"/>
      <c r="AI493" s="203"/>
      <c r="AJ493" s="203"/>
    </row>
    <row r="494" spans="1:36" s="32" customFormat="1">
      <c r="A494" s="131">
        <f>IF(F494&lt;&gt;"",1+MAX($A$2:A493),"")</f>
        <v>365</v>
      </c>
      <c r="B494" s="358"/>
      <c r="C494" s="137"/>
      <c r="D494" s="167" t="s">
        <v>427</v>
      </c>
      <c r="E494" s="134">
        <v>1</v>
      </c>
      <c r="F494" s="176">
        <v>0</v>
      </c>
      <c r="G494" s="177">
        <f t="shared" si="398"/>
        <v>1</v>
      </c>
      <c r="H494" s="164" t="s">
        <v>81</v>
      </c>
      <c r="I494" s="250">
        <v>0.3</v>
      </c>
      <c r="J494" s="149">
        <f t="shared" si="405"/>
        <v>0.3</v>
      </c>
      <c r="K494" s="151">
        <f>'LABOR SHEET'!C$6</f>
        <v>92</v>
      </c>
      <c r="L494" s="150">
        <f t="shared" si="406"/>
        <v>27.6</v>
      </c>
      <c r="M494" s="150">
        <f t="shared" si="407"/>
        <v>27.6</v>
      </c>
      <c r="N494" s="251">
        <v>27.4</v>
      </c>
      <c r="O494" s="150">
        <f t="shared" si="408"/>
        <v>27.4</v>
      </c>
      <c r="P494" s="150">
        <f t="shared" si="409"/>
        <v>55</v>
      </c>
      <c r="Q494" s="104">
        <f t="shared" si="410"/>
        <v>55</v>
      </c>
      <c r="R494" s="203"/>
      <c r="S494" s="203"/>
      <c r="T494" s="203"/>
      <c r="U494" s="203"/>
      <c r="V494" s="203"/>
      <c r="W494" s="203"/>
      <c r="X494" s="203"/>
      <c r="Y494" s="203"/>
      <c r="Z494" s="203"/>
      <c r="AA494" s="203"/>
      <c r="AB494" s="203"/>
      <c r="AC494" s="203"/>
      <c r="AD494" s="203"/>
      <c r="AE494" s="203"/>
      <c r="AF494" s="203"/>
      <c r="AG494" s="203"/>
      <c r="AH494" s="203"/>
      <c r="AI494" s="203"/>
      <c r="AJ494" s="203"/>
    </row>
    <row r="495" spans="1:36" s="32" customFormat="1">
      <c r="A495" s="131">
        <f>IF(F495&lt;&gt;"",1+MAX($A$2:A494),"")</f>
        <v>366</v>
      </c>
      <c r="B495" s="358"/>
      <c r="C495" s="137"/>
      <c r="D495" s="167" t="s">
        <v>428</v>
      </c>
      <c r="E495" s="134">
        <v>1</v>
      </c>
      <c r="F495" s="176">
        <v>0</v>
      </c>
      <c r="G495" s="177">
        <f t="shared" si="398"/>
        <v>1</v>
      </c>
      <c r="H495" s="164" t="s">
        <v>81</v>
      </c>
      <c r="I495" s="250">
        <v>0.3</v>
      </c>
      <c r="J495" s="149">
        <f t="shared" si="405"/>
        <v>0.3</v>
      </c>
      <c r="K495" s="151">
        <f>'LABOR SHEET'!C$6</f>
        <v>92</v>
      </c>
      <c r="L495" s="150">
        <f t="shared" si="406"/>
        <v>27.6</v>
      </c>
      <c r="M495" s="150">
        <f t="shared" si="407"/>
        <v>27.6</v>
      </c>
      <c r="N495" s="251">
        <v>27.4</v>
      </c>
      <c r="O495" s="150">
        <f t="shared" si="408"/>
        <v>27.4</v>
      </c>
      <c r="P495" s="150">
        <f t="shared" si="409"/>
        <v>55</v>
      </c>
      <c r="Q495" s="104">
        <f t="shared" si="410"/>
        <v>55</v>
      </c>
      <c r="R495" s="203"/>
      <c r="S495" s="203"/>
      <c r="T495" s="203"/>
      <c r="U495" s="203"/>
      <c r="V495" s="203"/>
      <c r="W495" s="203"/>
      <c r="X495" s="203"/>
      <c r="Y495" s="203"/>
      <c r="Z495" s="203"/>
      <c r="AA495" s="203"/>
      <c r="AB495" s="203"/>
      <c r="AC495" s="203"/>
      <c r="AD495" s="203"/>
      <c r="AE495" s="203"/>
      <c r="AF495" s="203"/>
      <c r="AG495" s="203"/>
      <c r="AH495" s="203"/>
      <c r="AI495" s="203"/>
      <c r="AJ495" s="203"/>
    </row>
    <row r="496" spans="1:36" s="32" customFormat="1">
      <c r="A496" s="131">
        <f>IF(F496&lt;&gt;"",1+MAX($A$2:A495),"")</f>
        <v>367</v>
      </c>
      <c r="B496" s="358"/>
      <c r="C496" s="137"/>
      <c r="D496" s="167" t="s">
        <v>429</v>
      </c>
      <c r="E496" s="134">
        <v>1</v>
      </c>
      <c r="F496" s="176">
        <v>0</v>
      </c>
      <c r="G496" s="177">
        <f t="shared" si="398"/>
        <v>1</v>
      </c>
      <c r="H496" s="164" t="s">
        <v>81</v>
      </c>
      <c r="I496" s="250">
        <v>0.3</v>
      </c>
      <c r="J496" s="149">
        <f t="shared" si="405"/>
        <v>0.3</v>
      </c>
      <c r="K496" s="151">
        <f>'LABOR SHEET'!C$6</f>
        <v>92</v>
      </c>
      <c r="L496" s="150">
        <f t="shared" si="406"/>
        <v>27.6</v>
      </c>
      <c r="M496" s="150">
        <f t="shared" si="407"/>
        <v>27.6</v>
      </c>
      <c r="N496" s="251">
        <v>27.4</v>
      </c>
      <c r="O496" s="150">
        <f t="shared" si="408"/>
        <v>27.4</v>
      </c>
      <c r="P496" s="150">
        <f t="shared" si="409"/>
        <v>55</v>
      </c>
      <c r="Q496" s="104">
        <f t="shared" si="410"/>
        <v>55</v>
      </c>
      <c r="R496" s="203"/>
      <c r="S496" s="203"/>
      <c r="T496" s="203"/>
      <c r="U496" s="203"/>
      <c r="V496" s="203"/>
      <c r="W496" s="203"/>
      <c r="X496" s="203"/>
      <c r="Y496" s="203"/>
      <c r="Z496" s="203"/>
      <c r="AA496" s="203"/>
      <c r="AB496" s="203"/>
      <c r="AC496" s="203"/>
      <c r="AD496" s="203"/>
      <c r="AE496" s="203"/>
      <c r="AF496" s="203"/>
      <c r="AG496" s="203"/>
      <c r="AH496" s="203"/>
      <c r="AI496" s="203"/>
      <c r="AJ496" s="203"/>
    </row>
    <row r="497" spans="1:36" s="32" customFormat="1">
      <c r="A497" s="131">
        <f>IF(F497&lt;&gt;"",1+MAX($A$2:A496),"")</f>
        <v>368</v>
      </c>
      <c r="B497" s="358"/>
      <c r="C497" s="137"/>
      <c r="D497" s="167" t="s">
        <v>430</v>
      </c>
      <c r="E497" s="134">
        <v>1</v>
      </c>
      <c r="F497" s="176">
        <v>0</v>
      </c>
      <c r="G497" s="177">
        <f t="shared" si="398"/>
        <v>1</v>
      </c>
      <c r="H497" s="164" t="s">
        <v>81</v>
      </c>
      <c r="I497" s="250">
        <v>0.3</v>
      </c>
      <c r="J497" s="149">
        <f t="shared" si="405"/>
        <v>0.3</v>
      </c>
      <c r="K497" s="151">
        <f>'LABOR SHEET'!C$6</f>
        <v>92</v>
      </c>
      <c r="L497" s="150">
        <f t="shared" si="406"/>
        <v>27.6</v>
      </c>
      <c r="M497" s="150">
        <f t="shared" si="407"/>
        <v>27.6</v>
      </c>
      <c r="N497" s="251">
        <v>27.4</v>
      </c>
      <c r="O497" s="150">
        <f t="shared" si="408"/>
        <v>27.4</v>
      </c>
      <c r="P497" s="150">
        <f t="shared" si="409"/>
        <v>55</v>
      </c>
      <c r="Q497" s="104">
        <f t="shared" si="410"/>
        <v>55</v>
      </c>
      <c r="R497" s="203"/>
      <c r="S497" s="203"/>
      <c r="T497" s="203"/>
      <c r="U497" s="203"/>
      <c r="V497" s="203"/>
      <c r="W497" s="203"/>
      <c r="X497" s="203"/>
      <c r="Y497" s="203"/>
      <c r="Z497" s="203"/>
      <c r="AA497" s="203"/>
      <c r="AB497" s="203"/>
      <c r="AC497" s="203"/>
      <c r="AD497" s="203"/>
      <c r="AE497" s="203"/>
      <c r="AF497" s="203"/>
      <c r="AG497" s="203"/>
      <c r="AH497" s="203"/>
      <c r="AI497" s="203"/>
      <c r="AJ497" s="203"/>
    </row>
    <row r="498" spans="1:36" s="32" customFormat="1">
      <c r="A498" s="131">
        <f>IF(F498&lt;&gt;"",1+MAX($A$2:A497),"")</f>
        <v>369</v>
      </c>
      <c r="B498" s="358"/>
      <c r="C498" s="137"/>
      <c r="D498" s="167" t="s">
        <v>431</v>
      </c>
      <c r="E498" s="134">
        <v>1</v>
      </c>
      <c r="F498" s="176">
        <v>0</v>
      </c>
      <c r="G498" s="177">
        <f t="shared" si="398"/>
        <v>1</v>
      </c>
      <c r="H498" s="164" t="s">
        <v>81</v>
      </c>
      <c r="I498" s="250">
        <v>0.3</v>
      </c>
      <c r="J498" s="149">
        <f t="shared" si="405"/>
        <v>0.3</v>
      </c>
      <c r="K498" s="151">
        <f>'LABOR SHEET'!C$6</f>
        <v>92</v>
      </c>
      <c r="L498" s="150">
        <f t="shared" si="406"/>
        <v>27.6</v>
      </c>
      <c r="M498" s="150">
        <f t="shared" si="407"/>
        <v>27.6</v>
      </c>
      <c r="N498" s="251">
        <v>27.4</v>
      </c>
      <c r="O498" s="150">
        <f t="shared" si="408"/>
        <v>27.4</v>
      </c>
      <c r="P498" s="150">
        <f t="shared" si="409"/>
        <v>55</v>
      </c>
      <c r="Q498" s="104">
        <f t="shared" si="410"/>
        <v>55</v>
      </c>
      <c r="R498" s="203"/>
      <c r="S498" s="203"/>
      <c r="T498" s="203"/>
      <c r="U498" s="203"/>
      <c r="V498" s="203"/>
      <c r="W498" s="203"/>
      <c r="X498" s="203"/>
      <c r="Y498" s="203"/>
      <c r="Z498" s="203"/>
      <c r="AA498" s="203"/>
      <c r="AB498" s="203"/>
      <c r="AC498" s="203"/>
      <c r="AD498" s="203"/>
      <c r="AE498" s="203"/>
      <c r="AF498" s="203"/>
      <c r="AG498" s="203"/>
      <c r="AH498" s="203"/>
      <c r="AI498" s="203"/>
      <c r="AJ498" s="203"/>
    </row>
    <row r="499" spans="1:36" s="32" customFormat="1">
      <c r="A499" s="131">
        <f>IF(F499&lt;&gt;"",1+MAX($A$2:A498),"")</f>
        <v>370</v>
      </c>
      <c r="B499" s="358"/>
      <c r="C499" s="137"/>
      <c r="D499" s="167" t="s">
        <v>432</v>
      </c>
      <c r="E499" s="134">
        <v>1</v>
      </c>
      <c r="F499" s="176">
        <v>0</v>
      </c>
      <c r="G499" s="177">
        <f t="shared" si="398"/>
        <v>1</v>
      </c>
      <c r="H499" s="164" t="s">
        <v>81</v>
      </c>
      <c r="I499" s="250">
        <v>0.3</v>
      </c>
      <c r="J499" s="149">
        <f t="shared" si="405"/>
        <v>0.3</v>
      </c>
      <c r="K499" s="151">
        <f>'LABOR SHEET'!C$6</f>
        <v>92</v>
      </c>
      <c r="L499" s="150">
        <f t="shared" si="406"/>
        <v>27.6</v>
      </c>
      <c r="M499" s="150">
        <f t="shared" si="407"/>
        <v>27.6</v>
      </c>
      <c r="N499" s="251">
        <v>27.4</v>
      </c>
      <c r="O499" s="150">
        <f t="shared" si="408"/>
        <v>27.4</v>
      </c>
      <c r="P499" s="150">
        <f t="shared" si="409"/>
        <v>55</v>
      </c>
      <c r="Q499" s="104">
        <f t="shared" si="410"/>
        <v>55</v>
      </c>
      <c r="R499" s="203"/>
      <c r="S499" s="203"/>
      <c r="T499" s="203"/>
      <c r="U499" s="203"/>
      <c r="V499" s="203"/>
      <c r="W499" s="203"/>
      <c r="X499" s="203"/>
      <c r="Y499" s="203"/>
      <c r="Z499" s="203"/>
      <c r="AA499" s="203"/>
      <c r="AB499" s="203"/>
      <c r="AC499" s="203"/>
      <c r="AD499" s="203"/>
      <c r="AE499" s="203"/>
      <c r="AF499" s="203"/>
      <c r="AG499" s="203"/>
      <c r="AH499" s="203"/>
      <c r="AI499" s="203"/>
      <c r="AJ499" s="203"/>
    </row>
    <row r="500" spans="1:36" s="32" customFormat="1">
      <c r="A500" s="131">
        <f>IF(F500&lt;&gt;"",1+MAX($A$2:A499),"")</f>
        <v>371</v>
      </c>
      <c r="B500" s="358"/>
      <c r="C500" s="137"/>
      <c r="D500" s="167" t="s">
        <v>433</v>
      </c>
      <c r="E500" s="134">
        <v>1</v>
      </c>
      <c r="F500" s="176">
        <v>0</v>
      </c>
      <c r="G500" s="177">
        <f t="shared" si="398"/>
        <v>1</v>
      </c>
      <c r="H500" s="164" t="s">
        <v>81</v>
      </c>
      <c r="I500" s="250">
        <v>0.3</v>
      </c>
      <c r="J500" s="149">
        <f t="shared" si="405"/>
        <v>0.3</v>
      </c>
      <c r="K500" s="151">
        <f>'LABOR SHEET'!C$6</f>
        <v>92</v>
      </c>
      <c r="L500" s="150">
        <f t="shared" si="406"/>
        <v>27.6</v>
      </c>
      <c r="M500" s="150">
        <f t="shared" si="407"/>
        <v>27.6</v>
      </c>
      <c r="N500" s="251">
        <v>27.4</v>
      </c>
      <c r="O500" s="150">
        <f t="shared" si="408"/>
        <v>27.4</v>
      </c>
      <c r="P500" s="150">
        <f t="shared" si="409"/>
        <v>55</v>
      </c>
      <c r="Q500" s="104">
        <f t="shared" si="410"/>
        <v>55</v>
      </c>
      <c r="R500" s="203"/>
      <c r="S500" s="203"/>
      <c r="T500" s="203"/>
      <c r="U500" s="203"/>
      <c r="V500" s="203"/>
      <c r="W500" s="203"/>
      <c r="X500" s="203"/>
      <c r="Y500" s="203"/>
      <c r="Z500" s="203"/>
      <c r="AA500" s="203"/>
      <c r="AB500" s="203"/>
      <c r="AC500" s="203"/>
      <c r="AD500" s="203"/>
      <c r="AE500" s="203"/>
      <c r="AF500" s="203"/>
      <c r="AG500" s="203"/>
      <c r="AH500" s="203"/>
      <c r="AI500" s="203"/>
      <c r="AJ500" s="203"/>
    </row>
    <row r="501" spans="1:36" s="32" customFormat="1">
      <c r="A501" s="131">
        <f>IF(F501&lt;&gt;"",1+MAX($A$2:A500),"")</f>
        <v>372</v>
      </c>
      <c r="B501" s="358"/>
      <c r="C501" s="137"/>
      <c r="D501" s="167" t="s">
        <v>434</v>
      </c>
      <c r="E501" s="134">
        <v>1</v>
      </c>
      <c r="F501" s="176">
        <v>0</v>
      </c>
      <c r="G501" s="177">
        <f t="shared" si="398"/>
        <v>1</v>
      </c>
      <c r="H501" s="164" t="s">
        <v>81</v>
      </c>
      <c r="I501" s="250">
        <v>0.3</v>
      </c>
      <c r="J501" s="149">
        <f t="shared" si="405"/>
        <v>0.3</v>
      </c>
      <c r="K501" s="151">
        <f>'LABOR SHEET'!C$6</f>
        <v>92</v>
      </c>
      <c r="L501" s="150">
        <f t="shared" si="406"/>
        <v>27.6</v>
      </c>
      <c r="M501" s="150">
        <f t="shared" si="407"/>
        <v>27.6</v>
      </c>
      <c r="N501" s="251">
        <v>27.4</v>
      </c>
      <c r="O501" s="150">
        <f t="shared" si="408"/>
        <v>27.4</v>
      </c>
      <c r="P501" s="150">
        <f t="shared" si="409"/>
        <v>55</v>
      </c>
      <c r="Q501" s="104">
        <f t="shared" si="410"/>
        <v>55</v>
      </c>
      <c r="R501" s="203"/>
      <c r="S501" s="203"/>
      <c r="T501" s="203"/>
      <c r="U501" s="203"/>
      <c r="V501" s="203"/>
      <c r="W501" s="203"/>
      <c r="X501" s="203"/>
      <c r="Y501" s="203"/>
      <c r="Z501" s="203"/>
      <c r="AA501" s="203"/>
      <c r="AB501" s="203"/>
      <c r="AC501" s="203"/>
      <c r="AD501" s="203"/>
      <c r="AE501" s="203"/>
      <c r="AF501" s="203"/>
      <c r="AG501" s="203"/>
      <c r="AH501" s="203"/>
      <c r="AI501" s="203"/>
      <c r="AJ501" s="203"/>
    </row>
    <row r="502" spans="1:36" s="32" customFormat="1">
      <c r="A502" s="131">
        <f>IF(F502&lt;&gt;"",1+MAX($A$2:A501),"")</f>
        <v>373</v>
      </c>
      <c r="B502" s="358"/>
      <c r="C502" s="137"/>
      <c r="D502" s="167" t="s">
        <v>435</v>
      </c>
      <c r="E502" s="134">
        <v>1</v>
      </c>
      <c r="F502" s="176">
        <v>0</v>
      </c>
      <c r="G502" s="177">
        <f t="shared" si="398"/>
        <v>1</v>
      </c>
      <c r="H502" s="164" t="s">
        <v>81</v>
      </c>
      <c r="I502" s="250">
        <v>0.3</v>
      </c>
      <c r="J502" s="149">
        <f t="shared" si="405"/>
        <v>0.3</v>
      </c>
      <c r="K502" s="151">
        <f>'LABOR SHEET'!C$6</f>
        <v>92</v>
      </c>
      <c r="L502" s="150">
        <f t="shared" si="406"/>
        <v>27.6</v>
      </c>
      <c r="M502" s="150">
        <f t="shared" si="407"/>
        <v>27.6</v>
      </c>
      <c r="N502" s="251">
        <v>27.4</v>
      </c>
      <c r="O502" s="150">
        <f t="shared" si="408"/>
        <v>27.4</v>
      </c>
      <c r="P502" s="150">
        <f t="shared" si="409"/>
        <v>55</v>
      </c>
      <c r="Q502" s="104">
        <f t="shared" si="410"/>
        <v>55</v>
      </c>
      <c r="R502" s="203"/>
      <c r="S502" s="203"/>
      <c r="T502" s="203"/>
      <c r="U502" s="203"/>
      <c r="V502" s="203"/>
      <c r="W502" s="203"/>
      <c r="X502" s="203"/>
      <c r="Y502" s="203"/>
      <c r="Z502" s="203"/>
      <c r="AA502" s="203"/>
      <c r="AB502" s="203"/>
      <c r="AC502" s="203"/>
      <c r="AD502" s="203"/>
      <c r="AE502" s="203"/>
      <c r="AF502" s="203"/>
      <c r="AG502" s="203"/>
      <c r="AH502" s="203"/>
      <c r="AI502" s="203"/>
      <c r="AJ502" s="203"/>
    </row>
    <row r="503" spans="1:36" s="32" customFormat="1">
      <c r="A503" s="131">
        <f>IF(F503&lt;&gt;"",1+MAX($A$2:A502),"")</f>
        <v>374</v>
      </c>
      <c r="B503" s="358"/>
      <c r="C503" s="137"/>
      <c r="D503" s="167" t="s">
        <v>436</v>
      </c>
      <c r="E503" s="134">
        <v>1</v>
      </c>
      <c r="F503" s="176">
        <v>0</v>
      </c>
      <c r="G503" s="177">
        <f t="shared" si="398"/>
        <v>1</v>
      </c>
      <c r="H503" s="164" t="s">
        <v>81</v>
      </c>
      <c r="I503" s="250">
        <v>0.3</v>
      </c>
      <c r="J503" s="149">
        <f t="shared" si="405"/>
        <v>0.3</v>
      </c>
      <c r="K503" s="151">
        <f>'LABOR SHEET'!C$6</f>
        <v>92</v>
      </c>
      <c r="L503" s="150">
        <f t="shared" si="406"/>
        <v>27.6</v>
      </c>
      <c r="M503" s="150">
        <f t="shared" si="407"/>
        <v>27.6</v>
      </c>
      <c r="N503" s="251">
        <v>27.4</v>
      </c>
      <c r="O503" s="150">
        <f t="shared" si="408"/>
        <v>27.4</v>
      </c>
      <c r="P503" s="150">
        <f t="shared" si="409"/>
        <v>55</v>
      </c>
      <c r="Q503" s="104">
        <f t="shared" si="410"/>
        <v>55</v>
      </c>
      <c r="R503" s="203"/>
      <c r="S503" s="203"/>
      <c r="T503" s="203"/>
      <c r="U503" s="203"/>
      <c r="V503" s="203"/>
      <c r="W503" s="203"/>
      <c r="X503" s="203"/>
      <c r="Y503" s="203"/>
      <c r="Z503" s="203"/>
      <c r="AA503" s="203"/>
      <c r="AB503" s="203"/>
      <c r="AC503" s="203"/>
      <c r="AD503" s="203"/>
      <c r="AE503" s="203"/>
      <c r="AF503" s="203"/>
      <c r="AG503" s="203"/>
      <c r="AH503" s="203"/>
      <c r="AI503" s="203"/>
      <c r="AJ503" s="203"/>
    </row>
    <row r="504" spans="1:36" s="32" customFormat="1">
      <c r="A504" s="131" t="str">
        <f>IF(F504&lt;&gt;"",1+MAX($A$2:A503),"")</f>
        <v/>
      </c>
      <c r="B504" s="358"/>
      <c r="C504" s="137"/>
      <c r="D504" s="167"/>
      <c r="E504" s="134"/>
      <c r="F504" s="176"/>
      <c r="G504" s="177"/>
      <c r="H504" s="164"/>
      <c r="I504" s="250"/>
      <c r="J504" s="149"/>
      <c r="K504" s="151"/>
      <c r="L504" s="150"/>
      <c r="M504" s="150"/>
      <c r="N504" s="251"/>
      <c r="O504" s="150"/>
      <c r="P504" s="150"/>
      <c r="Q504" s="104"/>
      <c r="R504" s="203"/>
      <c r="S504" s="203"/>
      <c r="T504" s="203"/>
      <c r="U504" s="203"/>
      <c r="V504" s="203"/>
      <c r="W504" s="203"/>
      <c r="X504" s="203"/>
      <c r="Y504" s="203"/>
      <c r="Z504" s="203"/>
      <c r="AA504" s="203"/>
      <c r="AB504" s="203"/>
      <c r="AC504" s="203"/>
      <c r="AD504" s="203"/>
      <c r="AE504" s="203"/>
      <c r="AF504" s="203"/>
      <c r="AG504" s="203"/>
      <c r="AH504" s="203"/>
      <c r="AI504" s="203"/>
      <c r="AJ504" s="203"/>
    </row>
    <row r="505" spans="1:36" s="32" customFormat="1">
      <c r="A505" s="131" t="str">
        <f>IF(F505&lt;&gt;"",1+MAX($A$2:A504),"")</f>
        <v/>
      </c>
      <c r="B505" s="358"/>
      <c r="C505" s="134"/>
      <c r="D505" s="221" t="s">
        <v>437</v>
      </c>
      <c r="E505" s="164"/>
      <c r="F505" s="164"/>
      <c r="G505" s="164"/>
      <c r="H505" s="164"/>
      <c r="I505" s="258"/>
      <c r="J505" s="246"/>
      <c r="K505" s="247"/>
      <c r="L505" s="150"/>
      <c r="M505" s="150"/>
      <c r="N505" s="251"/>
      <c r="O505" s="150"/>
      <c r="P505" s="150"/>
      <c r="Q505" s="152"/>
      <c r="R505" s="203"/>
      <c r="S505" s="203"/>
      <c r="T505" s="203"/>
      <c r="U505" s="203"/>
      <c r="V505" s="203"/>
      <c r="W505" s="203"/>
      <c r="X505" s="203"/>
      <c r="Y505" s="203"/>
      <c r="Z505" s="203"/>
      <c r="AA505" s="203"/>
      <c r="AB505" s="203"/>
      <c r="AC505" s="203"/>
      <c r="AD505" s="203"/>
      <c r="AE505" s="203"/>
      <c r="AF505" s="203"/>
      <c r="AG505" s="203"/>
      <c r="AH505" s="203"/>
      <c r="AI505" s="203"/>
      <c r="AJ505" s="203"/>
    </row>
    <row r="506" spans="1:36" s="32" customFormat="1">
      <c r="A506" s="131">
        <f>IF(F506&lt;&gt;"",1+MAX($A$2:A505),"")</f>
        <v>375</v>
      </c>
      <c r="B506" s="358"/>
      <c r="C506" s="137"/>
      <c r="D506" s="167" t="s">
        <v>438</v>
      </c>
      <c r="E506" s="134">
        <v>1</v>
      </c>
      <c r="F506" s="176">
        <v>0</v>
      </c>
      <c r="G506" s="177">
        <f>E506*(1+F506)</f>
        <v>1</v>
      </c>
      <c r="H506" s="164" t="s">
        <v>81</v>
      </c>
      <c r="I506" s="250">
        <v>10</v>
      </c>
      <c r="J506" s="149">
        <f t="shared" ref="J506:J512" si="411">+I506*G506</f>
        <v>10</v>
      </c>
      <c r="K506" s="151">
        <f>'LABOR SHEET'!C$6</f>
        <v>92</v>
      </c>
      <c r="L506" s="150">
        <f t="shared" ref="L506:L512" si="412">I506*K506</f>
        <v>920</v>
      </c>
      <c r="M506" s="150">
        <f t="shared" ref="M506:M512" si="413">K506*J506</f>
        <v>920</v>
      </c>
      <c r="N506" s="251">
        <v>1050</v>
      </c>
      <c r="O506" s="150">
        <f t="shared" ref="O506:O512" si="414">N506*G506</f>
        <v>1050</v>
      </c>
      <c r="P506" s="150">
        <f t="shared" ref="P506:P512" si="415">(I506*K506)+N506</f>
        <v>1970</v>
      </c>
      <c r="Q506" s="104">
        <f t="shared" ref="Q506:Q512" si="416">P506*G506</f>
        <v>1970</v>
      </c>
      <c r="R506" s="203"/>
      <c r="S506" s="203"/>
      <c r="T506" s="203"/>
      <c r="U506" s="203"/>
      <c r="V506" s="203"/>
      <c r="W506" s="203"/>
      <c r="X506" s="203"/>
      <c r="Y506" s="203"/>
      <c r="Z506" s="203"/>
      <c r="AA506" s="203"/>
      <c r="AB506" s="203"/>
      <c r="AC506" s="203"/>
      <c r="AD506" s="203"/>
      <c r="AE506" s="203"/>
      <c r="AF506" s="203"/>
      <c r="AG506" s="203"/>
      <c r="AH506" s="203"/>
      <c r="AI506" s="203"/>
      <c r="AJ506" s="203"/>
    </row>
    <row r="507" spans="1:36" s="32" customFormat="1">
      <c r="A507" s="131">
        <f>IF(F507&lt;&gt;"",1+MAX($A$2:A506),"")</f>
        <v>376</v>
      </c>
      <c r="B507" s="358"/>
      <c r="C507" s="137"/>
      <c r="D507" s="167" t="s">
        <v>439</v>
      </c>
      <c r="E507" s="134">
        <v>1</v>
      </c>
      <c r="F507" s="176">
        <v>0</v>
      </c>
      <c r="G507" s="177">
        <f>E507*(1+F507)</f>
        <v>1</v>
      </c>
      <c r="H507" s="164" t="s">
        <v>81</v>
      </c>
      <c r="I507" s="250">
        <v>18</v>
      </c>
      <c r="J507" s="149">
        <f t="shared" si="411"/>
        <v>18</v>
      </c>
      <c r="K507" s="151">
        <f>'LABOR SHEET'!C$6</f>
        <v>92</v>
      </c>
      <c r="L507" s="150">
        <f t="shared" si="412"/>
        <v>1656</v>
      </c>
      <c r="M507" s="150">
        <f t="shared" si="413"/>
        <v>1656</v>
      </c>
      <c r="N507" s="251">
        <v>2100</v>
      </c>
      <c r="O507" s="150">
        <f t="shared" si="414"/>
        <v>2100</v>
      </c>
      <c r="P507" s="150">
        <f t="shared" si="415"/>
        <v>3756</v>
      </c>
      <c r="Q507" s="104">
        <f t="shared" si="416"/>
        <v>3756</v>
      </c>
      <c r="R507" s="203"/>
      <c r="S507" s="203"/>
      <c r="T507" s="203"/>
      <c r="U507" s="203"/>
      <c r="V507" s="203"/>
      <c r="W507" s="203"/>
      <c r="X507" s="203"/>
      <c r="Y507" s="203"/>
      <c r="Z507" s="203"/>
      <c r="AA507" s="203"/>
      <c r="AB507" s="203"/>
      <c r="AC507" s="203"/>
      <c r="AD507" s="203"/>
      <c r="AE507" s="203"/>
      <c r="AF507" s="203"/>
      <c r="AG507" s="203"/>
      <c r="AH507" s="203"/>
      <c r="AI507" s="203"/>
      <c r="AJ507" s="203"/>
    </row>
    <row r="508" spans="1:36" s="32" customFormat="1">
      <c r="A508" s="131">
        <f>IF(F508&lt;&gt;"",1+MAX($A$2:A507),"")</f>
        <v>377</v>
      </c>
      <c r="B508" s="358"/>
      <c r="C508" s="137"/>
      <c r="D508" s="167" t="s">
        <v>440</v>
      </c>
      <c r="E508" s="134">
        <v>1</v>
      </c>
      <c r="F508" s="176">
        <v>0</v>
      </c>
      <c r="G508" s="177">
        <f>E508*(1+F508)</f>
        <v>1</v>
      </c>
      <c r="H508" s="164" t="s">
        <v>81</v>
      </c>
      <c r="I508" s="250">
        <v>18</v>
      </c>
      <c r="J508" s="149">
        <f t="shared" si="411"/>
        <v>18</v>
      </c>
      <c r="K508" s="151">
        <f>'LABOR SHEET'!C$6</f>
        <v>92</v>
      </c>
      <c r="L508" s="150">
        <f t="shared" si="412"/>
        <v>1656</v>
      </c>
      <c r="M508" s="150">
        <f t="shared" si="413"/>
        <v>1656</v>
      </c>
      <c r="N508" s="251">
        <v>2100</v>
      </c>
      <c r="O508" s="150">
        <f t="shared" si="414"/>
        <v>2100</v>
      </c>
      <c r="P508" s="150">
        <f t="shared" si="415"/>
        <v>3756</v>
      </c>
      <c r="Q508" s="104">
        <f t="shared" si="416"/>
        <v>3756</v>
      </c>
      <c r="R508" s="203"/>
      <c r="S508" s="203"/>
      <c r="T508" s="203"/>
      <c r="U508" s="203"/>
      <c r="V508" s="203"/>
      <c r="W508" s="203"/>
      <c r="X508" s="203"/>
      <c r="Y508" s="203"/>
      <c r="Z508" s="203"/>
      <c r="AA508" s="203"/>
      <c r="AB508" s="203"/>
      <c r="AC508" s="203"/>
      <c r="AD508" s="203"/>
      <c r="AE508" s="203"/>
      <c r="AF508" s="203"/>
      <c r="AG508" s="203"/>
      <c r="AH508" s="203"/>
      <c r="AI508" s="203"/>
      <c r="AJ508" s="203"/>
    </row>
    <row r="509" spans="1:36" s="32" customFormat="1">
      <c r="A509" s="131">
        <f>IF(F509&lt;&gt;"",1+MAX($A$2:A508),"")</f>
        <v>378</v>
      </c>
      <c r="B509" s="358"/>
      <c r="C509" s="137"/>
      <c r="D509" s="167" t="s">
        <v>441</v>
      </c>
      <c r="E509" s="134">
        <v>62</v>
      </c>
      <c r="F509" s="176">
        <v>0</v>
      </c>
      <c r="G509" s="177">
        <f t="shared" ref="G509:G512" si="417">E509*(1+F509)</f>
        <v>62</v>
      </c>
      <c r="H509" s="164" t="s">
        <v>81</v>
      </c>
      <c r="I509" s="250">
        <v>0.5</v>
      </c>
      <c r="J509" s="149">
        <f t="shared" si="411"/>
        <v>31</v>
      </c>
      <c r="K509" s="151">
        <f>'LABOR SHEET'!C$6</f>
        <v>92</v>
      </c>
      <c r="L509" s="150">
        <f t="shared" si="412"/>
        <v>46</v>
      </c>
      <c r="M509" s="150">
        <f t="shared" si="413"/>
        <v>2852</v>
      </c>
      <c r="N509" s="251">
        <v>24</v>
      </c>
      <c r="O509" s="150">
        <f t="shared" si="414"/>
        <v>1488</v>
      </c>
      <c r="P509" s="150">
        <f t="shared" si="415"/>
        <v>70</v>
      </c>
      <c r="Q509" s="104">
        <f t="shared" si="416"/>
        <v>4340</v>
      </c>
      <c r="R509" s="203"/>
      <c r="S509" s="203"/>
      <c r="T509" s="203"/>
      <c r="U509" s="203"/>
      <c r="V509" s="203"/>
      <c r="W509" s="203"/>
      <c r="X509" s="203"/>
      <c r="Y509" s="203"/>
      <c r="Z509" s="203"/>
      <c r="AA509" s="203"/>
      <c r="AB509" s="203"/>
      <c r="AC509" s="203"/>
      <c r="AD509" s="203"/>
      <c r="AE509" s="203"/>
      <c r="AF509" s="203"/>
      <c r="AG509" s="203"/>
      <c r="AH509" s="203"/>
      <c r="AI509" s="203"/>
      <c r="AJ509" s="203"/>
    </row>
    <row r="510" spans="1:36" s="32" customFormat="1">
      <c r="A510" s="131">
        <f>IF(F510&lt;&gt;"",1+MAX($A$2:A509),"")</f>
        <v>379</v>
      </c>
      <c r="B510" s="358"/>
      <c r="C510" s="137"/>
      <c r="D510" s="167" t="s">
        <v>442</v>
      </c>
      <c r="E510" s="134">
        <v>8</v>
      </c>
      <c r="F510" s="176">
        <v>0</v>
      </c>
      <c r="G510" s="177">
        <f t="shared" si="417"/>
        <v>8</v>
      </c>
      <c r="H510" s="164" t="s">
        <v>81</v>
      </c>
      <c r="I510" s="250">
        <v>0.6</v>
      </c>
      <c r="J510" s="149">
        <f t="shared" si="411"/>
        <v>4.8</v>
      </c>
      <c r="K510" s="151">
        <f>'LABOR SHEET'!C$6</f>
        <v>92</v>
      </c>
      <c r="L510" s="150">
        <f t="shared" si="412"/>
        <v>55.2</v>
      </c>
      <c r="M510" s="150">
        <f t="shared" si="413"/>
        <v>441.6</v>
      </c>
      <c r="N510" s="251">
        <v>55</v>
      </c>
      <c r="O510" s="150">
        <f t="shared" si="414"/>
        <v>440</v>
      </c>
      <c r="P510" s="150">
        <f t="shared" si="415"/>
        <v>110.2</v>
      </c>
      <c r="Q510" s="104">
        <f t="shared" si="416"/>
        <v>881.6</v>
      </c>
      <c r="R510" s="203"/>
      <c r="S510" s="203"/>
      <c r="T510" s="203"/>
      <c r="U510" s="203"/>
      <c r="V510" s="203"/>
      <c r="W510" s="203"/>
      <c r="X510" s="203"/>
      <c r="Y510" s="203"/>
      <c r="Z510" s="203"/>
      <c r="AA510" s="203"/>
      <c r="AB510" s="203"/>
      <c r="AC510" s="203"/>
      <c r="AD510" s="203"/>
      <c r="AE510" s="203"/>
      <c r="AF510" s="203"/>
      <c r="AG510" s="203"/>
      <c r="AH510" s="203"/>
      <c r="AI510" s="203"/>
      <c r="AJ510" s="203"/>
    </row>
    <row r="511" spans="1:36" s="32" customFormat="1">
      <c r="A511" s="131">
        <f>IF(F511&lt;&gt;"",1+MAX($A$2:A510),"")</f>
        <v>380</v>
      </c>
      <c r="B511" s="358"/>
      <c r="C511" s="137"/>
      <c r="D511" s="167" t="s">
        <v>443</v>
      </c>
      <c r="E511" s="134">
        <v>2</v>
      </c>
      <c r="F511" s="176">
        <v>0</v>
      </c>
      <c r="G511" s="177">
        <f t="shared" si="417"/>
        <v>2</v>
      </c>
      <c r="H511" s="164" t="s">
        <v>81</v>
      </c>
      <c r="I511" s="250">
        <v>0.6</v>
      </c>
      <c r="J511" s="149">
        <f t="shared" si="411"/>
        <v>1.2</v>
      </c>
      <c r="K511" s="151">
        <f>'LABOR SHEET'!C$6</f>
        <v>92</v>
      </c>
      <c r="L511" s="150">
        <f t="shared" si="412"/>
        <v>55.2</v>
      </c>
      <c r="M511" s="150">
        <f t="shared" si="413"/>
        <v>110.4</v>
      </c>
      <c r="N511" s="251">
        <v>86</v>
      </c>
      <c r="O511" s="150">
        <f t="shared" si="414"/>
        <v>172</v>
      </c>
      <c r="P511" s="150">
        <f t="shared" si="415"/>
        <v>141.19999999999999</v>
      </c>
      <c r="Q511" s="104">
        <f t="shared" si="416"/>
        <v>282.39999999999998</v>
      </c>
      <c r="R511" s="203"/>
      <c r="S511" s="203"/>
      <c r="T511" s="203"/>
      <c r="U511" s="203"/>
      <c r="V511" s="203"/>
      <c r="W511" s="203"/>
      <c r="X511" s="203"/>
      <c r="Y511" s="203"/>
      <c r="Z511" s="203"/>
      <c r="AA511" s="203"/>
      <c r="AB511" s="203"/>
      <c r="AC511" s="203"/>
      <c r="AD511" s="203"/>
      <c r="AE511" s="203"/>
      <c r="AF511" s="203"/>
      <c r="AG511" s="203"/>
      <c r="AH511" s="203"/>
      <c r="AI511" s="203"/>
      <c r="AJ511" s="203"/>
    </row>
    <row r="512" spans="1:36" s="32" customFormat="1">
      <c r="A512" s="131">
        <f>IF(F512&lt;&gt;"",1+MAX($A$2:A511),"")</f>
        <v>381</v>
      </c>
      <c r="B512" s="358"/>
      <c r="C512" s="137"/>
      <c r="D512" s="167" t="s">
        <v>444</v>
      </c>
      <c r="E512" s="134">
        <v>1</v>
      </c>
      <c r="F512" s="176">
        <v>0</v>
      </c>
      <c r="G512" s="177">
        <f t="shared" si="417"/>
        <v>1</v>
      </c>
      <c r="H512" s="164" t="s">
        <v>81</v>
      </c>
      <c r="I512" s="250">
        <v>0.65</v>
      </c>
      <c r="J512" s="149">
        <f t="shared" si="411"/>
        <v>0.65</v>
      </c>
      <c r="K512" s="151">
        <f>'LABOR SHEET'!C$6</f>
        <v>92</v>
      </c>
      <c r="L512" s="150">
        <f t="shared" si="412"/>
        <v>59.8</v>
      </c>
      <c r="M512" s="150">
        <f t="shared" si="413"/>
        <v>59.8</v>
      </c>
      <c r="N512" s="251">
        <f>2.1*60</f>
        <v>126</v>
      </c>
      <c r="O512" s="150">
        <f t="shared" si="414"/>
        <v>126</v>
      </c>
      <c r="P512" s="150">
        <f t="shared" si="415"/>
        <v>185.8</v>
      </c>
      <c r="Q512" s="104">
        <f t="shared" si="416"/>
        <v>185.8</v>
      </c>
      <c r="R512" s="203"/>
      <c r="S512" s="203"/>
      <c r="T512" s="203"/>
      <c r="U512" s="203"/>
      <c r="V512" s="203"/>
      <c r="W512" s="203"/>
      <c r="X512" s="203"/>
      <c r="Y512" s="203"/>
      <c r="Z512" s="203"/>
      <c r="AA512" s="203"/>
      <c r="AB512" s="203"/>
      <c r="AC512" s="203"/>
      <c r="AD512" s="203"/>
      <c r="AE512" s="203"/>
      <c r="AF512" s="203"/>
      <c r="AG512" s="203"/>
      <c r="AH512" s="203"/>
      <c r="AI512" s="203"/>
      <c r="AJ512" s="203"/>
    </row>
    <row r="513" spans="1:36" s="32" customFormat="1">
      <c r="A513" s="131" t="str">
        <f>IF(F513&lt;&gt;"",1+MAX($A$2:A512),"")</f>
        <v/>
      </c>
      <c r="B513" s="358"/>
      <c r="C513" s="137"/>
      <c r="D513" s="167"/>
      <c r="E513" s="134"/>
      <c r="F513" s="176"/>
      <c r="G513" s="177"/>
      <c r="H513" s="164"/>
      <c r="I513" s="250"/>
      <c r="J513" s="149"/>
      <c r="K513" s="151"/>
      <c r="L513" s="150"/>
      <c r="M513" s="150"/>
      <c r="N513" s="251"/>
      <c r="O513" s="150"/>
      <c r="P513" s="150"/>
      <c r="Q513" s="104"/>
      <c r="R513" s="203"/>
      <c r="S513" s="203"/>
      <c r="T513" s="203"/>
      <c r="U513" s="203"/>
      <c r="V513" s="203"/>
      <c r="W513" s="203"/>
      <c r="X513" s="203"/>
      <c r="Y513" s="203"/>
      <c r="Z513" s="203"/>
      <c r="AA513" s="203"/>
      <c r="AB513" s="203"/>
      <c r="AC513" s="203"/>
      <c r="AD513" s="203"/>
      <c r="AE513" s="203"/>
      <c r="AF513" s="203"/>
      <c r="AG513" s="203"/>
      <c r="AH513" s="203"/>
      <c r="AI513" s="203"/>
      <c r="AJ513" s="203"/>
    </row>
    <row r="514" spans="1:36" s="32" customFormat="1">
      <c r="A514" s="131" t="str">
        <f>IF(F514&lt;&gt;"",1+MAX($A$2:A513),"")</f>
        <v/>
      </c>
      <c r="B514" s="358"/>
      <c r="C514" s="134"/>
      <c r="D514" s="221" t="s">
        <v>445</v>
      </c>
      <c r="E514" s="164"/>
      <c r="F514" s="164"/>
      <c r="G514" s="164"/>
      <c r="H514" s="164"/>
      <c r="I514" s="258"/>
      <c r="J514" s="246"/>
      <c r="K514" s="247"/>
      <c r="L514" s="150"/>
      <c r="M514" s="150"/>
      <c r="N514" s="251"/>
      <c r="O514" s="150"/>
      <c r="P514" s="150"/>
      <c r="Q514" s="152"/>
      <c r="R514" s="203"/>
      <c r="S514" s="203"/>
      <c r="T514" s="203"/>
      <c r="U514" s="203"/>
      <c r="V514" s="203"/>
      <c r="W514" s="203"/>
      <c r="X514" s="203"/>
      <c r="Y514" s="203"/>
      <c r="Z514" s="203"/>
      <c r="AA514" s="203"/>
      <c r="AB514" s="203"/>
      <c r="AC514" s="203"/>
      <c r="AD514" s="203"/>
      <c r="AE514" s="203"/>
      <c r="AF514" s="203"/>
      <c r="AG514" s="203"/>
      <c r="AH514" s="203"/>
      <c r="AI514" s="203"/>
      <c r="AJ514" s="203"/>
    </row>
    <row r="515" spans="1:36" s="32" customFormat="1">
      <c r="A515" s="131">
        <f>IF(F515&lt;&gt;"",1+MAX($A$2:A514),"")</f>
        <v>382</v>
      </c>
      <c r="B515" s="358"/>
      <c r="C515" s="137"/>
      <c r="D515" s="167" t="s">
        <v>446</v>
      </c>
      <c r="E515" s="134">
        <v>7</v>
      </c>
      <c r="F515" s="176">
        <v>0</v>
      </c>
      <c r="G515" s="177">
        <f t="shared" ref="G515:G520" si="418">E515*(1+F515)</f>
        <v>7</v>
      </c>
      <c r="H515" s="164" t="s">
        <v>81</v>
      </c>
      <c r="I515" s="250">
        <v>0.8</v>
      </c>
      <c r="J515" s="149">
        <f t="shared" ref="J515:J520" si="419">+I515*G515</f>
        <v>5.6</v>
      </c>
      <c r="K515" s="151">
        <f>'LABOR SHEET'!C$6</f>
        <v>92</v>
      </c>
      <c r="L515" s="150">
        <f t="shared" ref="L515:L520" si="420">I515*K515</f>
        <v>73.599999999999994</v>
      </c>
      <c r="M515" s="150">
        <f t="shared" ref="M515:M520" si="421">K515*J515</f>
        <v>515.20000000000005</v>
      </c>
      <c r="N515" s="251">
        <v>132</v>
      </c>
      <c r="O515" s="150">
        <f t="shared" ref="O515:O520" si="422">N515*G515</f>
        <v>924</v>
      </c>
      <c r="P515" s="150">
        <f t="shared" ref="P515:P520" si="423">(I515*K515)+N515</f>
        <v>205.6</v>
      </c>
      <c r="Q515" s="104">
        <f t="shared" ref="Q515:Q520" si="424">P515*G515</f>
        <v>1439.2</v>
      </c>
      <c r="R515" s="203"/>
      <c r="S515" s="203"/>
      <c r="T515" s="203"/>
      <c r="U515" s="203"/>
      <c r="V515" s="203"/>
      <c r="W515" s="203"/>
      <c r="X515" s="203"/>
      <c r="Y515" s="203"/>
      <c r="Z515" s="203"/>
      <c r="AA515" s="203"/>
      <c r="AB515" s="203"/>
      <c r="AC515" s="203"/>
      <c r="AD515" s="203"/>
      <c r="AE515" s="203"/>
      <c r="AF515" s="203"/>
      <c r="AG515" s="203"/>
      <c r="AH515" s="203"/>
      <c r="AI515" s="203"/>
      <c r="AJ515" s="203"/>
    </row>
    <row r="516" spans="1:36" s="32" customFormat="1">
      <c r="A516" s="131">
        <f>IF(F516&lt;&gt;"",1+MAX($A$2:A515),"")</f>
        <v>383</v>
      </c>
      <c r="B516" s="358"/>
      <c r="C516" s="137"/>
      <c r="D516" s="167" t="s">
        <v>447</v>
      </c>
      <c r="E516" s="134">
        <v>1</v>
      </c>
      <c r="F516" s="176">
        <v>0</v>
      </c>
      <c r="G516" s="177">
        <f t="shared" si="418"/>
        <v>1</v>
      </c>
      <c r="H516" s="164" t="s">
        <v>81</v>
      </c>
      <c r="I516" s="250">
        <v>0.55000000000000004</v>
      </c>
      <c r="J516" s="149">
        <f t="shared" si="419"/>
        <v>0.55000000000000004</v>
      </c>
      <c r="K516" s="151">
        <f>'LABOR SHEET'!C$6</f>
        <v>92</v>
      </c>
      <c r="L516" s="150">
        <f t="shared" si="420"/>
        <v>50.6</v>
      </c>
      <c r="M516" s="150">
        <f t="shared" si="421"/>
        <v>50.6</v>
      </c>
      <c r="N516" s="251">
        <v>128</v>
      </c>
      <c r="O516" s="150">
        <f t="shared" si="422"/>
        <v>128</v>
      </c>
      <c r="P516" s="150">
        <f t="shared" si="423"/>
        <v>178.6</v>
      </c>
      <c r="Q516" s="104">
        <f t="shared" si="424"/>
        <v>178.6</v>
      </c>
      <c r="R516" s="203"/>
      <c r="S516" s="203"/>
      <c r="T516" s="203"/>
      <c r="U516" s="203"/>
      <c r="V516" s="203"/>
      <c r="W516" s="203"/>
      <c r="X516" s="203"/>
      <c r="Y516" s="203"/>
      <c r="Z516" s="203"/>
      <c r="AA516" s="203"/>
      <c r="AB516" s="203"/>
      <c r="AC516" s="203"/>
      <c r="AD516" s="203"/>
      <c r="AE516" s="203"/>
      <c r="AF516" s="203"/>
      <c r="AG516" s="203"/>
      <c r="AH516" s="203"/>
      <c r="AI516" s="203"/>
      <c r="AJ516" s="203"/>
    </row>
    <row r="517" spans="1:36" s="32" customFormat="1">
      <c r="A517" s="131">
        <f>IF(F517&lt;&gt;"",1+MAX($A$2:A516),"")</f>
        <v>384</v>
      </c>
      <c r="B517" s="358"/>
      <c r="C517" s="137"/>
      <c r="D517" s="167" t="s">
        <v>448</v>
      </c>
      <c r="E517" s="134">
        <v>1</v>
      </c>
      <c r="F517" s="176">
        <v>0</v>
      </c>
      <c r="G517" s="177">
        <f t="shared" si="418"/>
        <v>1</v>
      </c>
      <c r="H517" s="164" t="s">
        <v>81</v>
      </c>
      <c r="I517" s="250">
        <v>0.5</v>
      </c>
      <c r="J517" s="149">
        <f t="shared" si="419"/>
        <v>0.5</v>
      </c>
      <c r="K517" s="151">
        <f>'LABOR SHEET'!C$6</f>
        <v>92</v>
      </c>
      <c r="L517" s="150">
        <f t="shared" si="420"/>
        <v>46</v>
      </c>
      <c r="M517" s="150">
        <f t="shared" si="421"/>
        <v>46</v>
      </c>
      <c r="N517" s="251">
        <v>78</v>
      </c>
      <c r="O517" s="150">
        <f t="shared" si="422"/>
        <v>78</v>
      </c>
      <c r="P517" s="150">
        <f t="shared" si="423"/>
        <v>124</v>
      </c>
      <c r="Q517" s="104">
        <f t="shared" si="424"/>
        <v>124</v>
      </c>
      <c r="R517" s="203"/>
      <c r="S517" s="203"/>
      <c r="T517" s="203"/>
      <c r="U517" s="203"/>
      <c r="V517" s="203"/>
      <c r="W517" s="203"/>
      <c r="X517" s="203"/>
      <c r="Y517" s="203"/>
      <c r="Z517" s="203"/>
      <c r="AA517" s="203"/>
      <c r="AB517" s="203"/>
      <c r="AC517" s="203"/>
      <c r="AD517" s="203"/>
      <c r="AE517" s="203"/>
      <c r="AF517" s="203"/>
      <c r="AG517" s="203"/>
      <c r="AH517" s="203"/>
      <c r="AI517" s="203"/>
      <c r="AJ517" s="203"/>
    </row>
    <row r="518" spans="1:36" s="32" customFormat="1">
      <c r="A518" s="131">
        <f>IF(F518&lt;&gt;"",1+MAX($A$2:A517),"")</f>
        <v>385</v>
      </c>
      <c r="B518" s="358"/>
      <c r="C518" s="137"/>
      <c r="D518" s="167" t="s">
        <v>449</v>
      </c>
      <c r="E518" s="134">
        <v>7</v>
      </c>
      <c r="F518" s="176">
        <v>0</v>
      </c>
      <c r="G518" s="177">
        <f t="shared" si="418"/>
        <v>7</v>
      </c>
      <c r="H518" s="164" t="s">
        <v>81</v>
      </c>
      <c r="I518" s="250">
        <v>0.25</v>
      </c>
      <c r="J518" s="149">
        <f t="shared" si="419"/>
        <v>1.75</v>
      </c>
      <c r="K518" s="151">
        <f>'LABOR SHEET'!C$6</f>
        <v>92</v>
      </c>
      <c r="L518" s="150">
        <f t="shared" si="420"/>
        <v>23</v>
      </c>
      <c r="M518" s="150">
        <f t="shared" si="421"/>
        <v>161</v>
      </c>
      <c r="N518" s="251">
        <v>24.5</v>
      </c>
      <c r="O518" s="150">
        <f t="shared" si="422"/>
        <v>171.5</v>
      </c>
      <c r="P518" s="150">
        <f t="shared" si="423"/>
        <v>47.5</v>
      </c>
      <c r="Q518" s="104">
        <f t="shared" si="424"/>
        <v>332.5</v>
      </c>
      <c r="R518" s="203"/>
      <c r="S518" s="203"/>
      <c r="T518" s="203"/>
      <c r="U518" s="203"/>
      <c r="V518" s="203"/>
      <c r="W518" s="203"/>
      <c r="X518" s="203"/>
      <c r="Y518" s="203"/>
      <c r="Z518" s="203"/>
      <c r="AA518" s="203"/>
      <c r="AB518" s="203"/>
      <c r="AC518" s="203"/>
      <c r="AD518" s="203"/>
      <c r="AE518" s="203"/>
      <c r="AF518" s="203"/>
      <c r="AG518" s="203"/>
      <c r="AH518" s="203"/>
      <c r="AI518" s="203"/>
      <c r="AJ518" s="203"/>
    </row>
    <row r="519" spans="1:36" s="32" customFormat="1">
      <c r="A519" s="131">
        <f>IF(F519&lt;&gt;"",1+MAX($A$2:A518),"")</f>
        <v>386</v>
      </c>
      <c r="B519" s="358"/>
      <c r="C519" s="137"/>
      <c r="D519" s="167" t="s">
        <v>450</v>
      </c>
      <c r="E519" s="134">
        <v>38</v>
      </c>
      <c r="F519" s="176">
        <v>0</v>
      </c>
      <c r="G519" s="177">
        <f t="shared" si="418"/>
        <v>38</v>
      </c>
      <c r="H519" s="164" t="s">
        <v>81</v>
      </c>
      <c r="I519" s="250">
        <v>0.28000000000000003</v>
      </c>
      <c r="J519" s="149">
        <f t="shared" si="419"/>
        <v>10.64</v>
      </c>
      <c r="K519" s="151">
        <f>'LABOR SHEET'!C$6</f>
        <v>92</v>
      </c>
      <c r="L519" s="150">
        <f t="shared" si="420"/>
        <v>25.76</v>
      </c>
      <c r="M519" s="150">
        <f t="shared" si="421"/>
        <v>978.88</v>
      </c>
      <c r="N519" s="251">
        <v>35</v>
      </c>
      <c r="O519" s="150">
        <f t="shared" si="422"/>
        <v>1330</v>
      </c>
      <c r="P519" s="150">
        <f t="shared" si="423"/>
        <v>60.76</v>
      </c>
      <c r="Q519" s="104">
        <f t="shared" si="424"/>
        <v>2308.88</v>
      </c>
      <c r="R519" s="203"/>
      <c r="S519" s="203"/>
      <c r="T519" s="203"/>
      <c r="U519" s="203"/>
      <c r="V519" s="203"/>
      <c r="W519" s="203"/>
      <c r="X519" s="203"/>
      <c r="Y519" s="203"/>
      <c r="Z519" s="203"/>
      <c r="AA519" s="203"/>
      <c r="AB519" s="203"/>
      <c r="AC519" s="203"/>
      <c r="AD519" s="203"/>
      <c r="AE519" s="203"/>
      <c r="AF519" s="203"/>
      <c r="AG519" s="203"/>
      <c r="AH519" s="203"/>
      <c r="AI519" s="203"/>
      <c r="AJ519" s="203"/>
    </row>
    <row r="520" spans="1:36" s="32" customFormat="1">
      <c r="A520" s="131">
        <f>IF(F520&lt;&gt;"",1+MAX($A$2:A519),"")</f>
        <v>387</v>
      </c>
      <c r="B520" s="358"/>
      <c r="C520" s="137"/>
      <c r="D520" s="167" t="s">
        <v>451</v>
      </c>
      <c r="E520" s="134">
        <v>1</v>
      </c>
      <c r="F520" s="176">
        <v>0</v>
      </c>
      <c r="G520" s="177">
        <f t="shared" si="418"/>
        <v>1</v>
      </c>
      <c r="H520" s="164" t="s">
        <v>81</v>
      </c>
      <c r="I520" s="250">
        <v>0.55000000000000004</v>
      </c>
      <c r="J520" s="149">
        <f t="shared" si="419"/>
        <v>0.55000000000000004</v>
      </c>
      <c r="K520" s="151">
        <f>'LABOR SHEET'!C$6</f>
        <v>92</v>
      </c>
      <c r="L520" s="150">
        <f t="shared" si="420"/>
        <v>50.6</v>
      </c>
      <c r="M520" s="150">
        <f t="shared" si="421"/>
        <v>50.6</v>
      </c>
      <c r="N520" s="251">
        <v>85</v>
      </c>
      <c r="O520" s="150">
        <f t="shared" si="422"/>
        <v>85</v>
      </c>
      <c r="P520" s="150">
        <f t="shared" si="423"/>
        <v>135.6</v>
      </c>
      <c r="Q520" s="104">
        <f t="shared" si="424"/>
        <v>135.6</v>
      </c>
      <c r="R520" s="203"/>
      <c r="S520" s="203"/>
      <c r="T520" s="203"/>
      <c r="U520" s="203"/>
      <c r="V520" s="203"/>
      <c r="W520" s="203"/>
      <c r="X520" s="203"/>
      <c r="Y520" s="203"/>
      <c r="Z520" s="203"/>
      <c r="AA520" s="203"/>
      <c r="AB520" s="203"/>
      <c r="AC520" s="203"/>
      <c r="AD520" s="203"/>
      <c r="AE520" s="203"/>
      <c r="AF520" s="203"/>
      <c r="AG520" s="203"/>
      <c r="AH520" s="203"/>
      <c r="AI520" s="203"/>
      <c r="AJ520" s="203"/>
    </row>
    <row r="521" spans="1:36" s="32" customFormat="1">
      <c r="A521" s="131" t="str">
        <f>IF(F521&lt;&gt;"",1+MAX($A$2:A520),"")</f>
        <v/>
      </c>
      <c r="B521" s="358"/>
      <c r="C521" s="137"/>
      <c r="D521" s="167"/>
      <c r="E521" s="134"/>
      <c r="F521" s="176"/>
      <c r="G521" s="177"/>
      <c r="H521" s="164"/>
      <c r="I521" s="250"/>
      <c r="J521" s="149"/>
      <c r="K521" s="151"/>
      <c r="L521" s="150"/>
      <c r="M521" s="150"/>
      <c r="N521" s="251"/>
      <c r="O521" s="150"/>
      <c r="P521" s="150"/>
      <c r="Q521" s="104"/>
      <c r="R521" s="203"/>
      <c r="S521" s="203"/>
      <c r="T521" s="203"/>
      <c r="U521" s="203"/>
      <c r="V521" s="203"/>
      <c r="W521" s="203"/>
      <c r="X521" s="203"/>
      <c r="Y521" s="203"/>
      <c r="Z521" s="203"/>
      <c r="AA521" s="203"/>
      <c r="AB521" s="203"/>
      <c r="AC521" s="203"/>
      <c r="AD521" s="203"/>
      <c r="AE521" s="203"/>
      <c r="AF521" s="203"/>
      <c r="AG521" s="203"/>
      <c r="AH521" s="203"/>
      <c r="AI521" s="203"/>
      <c r="AJ521" s="203"/>
    </row>
    <row r="522" spans="1:36" s="32" customFormat="1">
      <c r="A522" s="131" t="str">
        <f>IF(F522&lt;&gt;"",1+MAX($A$2:A521),"")</f>
        <v/>
      </c>
      <c r="B522" s="358"/>
      <c r="C522" s="134"/>
      <c r="D522" s="221" t="s">
        <v>452</v>
      </c>
      <c r="E522" s="164"/>
      <c r="F522" s="164"/>
      <c r="G522" s="164"/>
      <c r="H522" s="164"/>
      <c r="I522" s="258"/>
      <c r="J522" s="246"/>
      <c r="K522" s="247"/>
      <c r="L522" s="150"/>
      <c r="M522" s="150"/>
      <c r="N522" s="251"/>
      <c r="O522" s="150"/>
      <c r="P522" s="150"/>
      <c r="Q522" s="152"/>
      <c r="R522" s="203"/>
      <c r="S522" s="203"/>
      <c r="T522" s="203"/>
      <c r="U522" s="203"/>
      <c r="V522" s="203"/>
      <c r="W522" s="203"/>
      <c r="X522" s="203"/>
      <c r="Y522" s="203"/>
      <c r="Z522" s="203"/>
      <c r="AA522" s="203"/>
      <c r="AB522" s="203"/>
      <c r="AC522" s="203"/>
      <c r="AD522" s="203"/>
      <c r="AE522" s="203"/>
      <c r="AF522" s="203"/>
      <c r="AG522" s="203"/>
      <c r="AH522" s="203"/>
      <c r="AI522" s="203"/>
      <c r="AJ522" s="203"/>
    </row>
    <row r="523" spans="1:36" s="32" customFormat="1">
      <c r="A523" s="131">
        <f>IF(F523&lt;&gt;"",1+MAX($A$2:A522),"")</f>
        <v>388</v>
      </c>
      <c r="B523" s="358"/>
      <c r="C523" s="137"/>
      <c r="D523" s="167" t="s">
        <v>453</v>
      </c>
      <c r="E523" s="134">
        <f>450*12</f>
        <v>5400</v>
      </c>
      <c r="F523" s="176">
        <v>0.05</v>
      </c>
      <c r="G523" s="177">
        <f>E523*(1+F523)</f>
        <v>5670</v>
      </c>
      <c r="H523" s="164" t="s">
        <v>71</v>
      </c>
      <c r="I523" s="250">
        <v>6.7000000000000004E-2</v>
      </c>
      <c r="J523" s="149">
        <f t="shared" ref="J523:J524" si="425">+I523*G523</f>
        <v>379.89</v>
      </c>
      <c r="K523" s="151">
        <f>'LABOR SHEET'!C$6</f>
        <v>92</v>
      </c>
      <c r="L523" s="150">
        <f t="shared" ref="L523:L524" si="426">I523*K523</f>
        <v>6.1639999999999997</v>
      </c>
      <c r="M523" s="150">
        <f t="shared" ref="M523:M524" si="427">K523*J523</f>
        <v>34949.879999999997</v>
      </c>
      <c r="N523" s="251">
        <v>1.1000000000000001</v>
      </c>
      <c r="O523" s="150">
        <f t="shared" ref="O523:O524" si="428">N523*G523</f>
        <v>6237</v>
      </c>
      <c r="P523" s="150">
        <f t="shared" ref="P523:P524" si="429">(I523*K523)+N523</f>
        <v>7.2640000000000002</v>
      </c>
      <c r="Q523" s="104">
        <f t="shared" ref="Q523:Q524" si="430">P523*G523</f>
        <v>41186.879999999997</v>
      </c>
      <c r="R523" s="203"/>
      <c r="S523" s="203"/>
      <c r="T523" s="203"/>
      <c r="U523" s="203"/>
      <c r="V523" s="203"/>
      <c r="W523" s="203"/>
      <c r="X523" s="203"/>
      <c r="Y523" s="203"/>
      <c r="Z523" s="203"/>
      <c r="AA523" s="203"/>
      <c r="AB523" s="203"/>
      <c r="AC523" s="203"/>
      <c r="AD523" s="203"/>
      <c r="AE523" s="203"/>
      <c r="AF523" s="203"/>
      <c r="AG523" s="203"/>
      <c r="AH523" s="203"/>
      <c r="AI523" s="203"/>
      <c r="AJ523" s="203"/>
    </row>
    <row r="524" spans="1:36" s="32" customFormat="1">
      <c r="A524" s="131">
        <f>IF(F524&lt;&gt;"",1+MAX($A$2:A523),"")</f>
        <v>389</v>
      </c>
      <c r="B524" s="358"/>
      <c r="C524" s="137"/>
      <c r="D524" s="167" t="s">
        <v>454</v>
      </c>
      <c r="E524" s="134">
        <f>450*12*3</f>
        <v>16200</v>
      </c>
      <c r="F524" s="176">
        <v>0.05</v>
      </c>
      <c r="G524" s="177">
        <f>E524*(1+F524)</f>
        <v>17010</v>
      </c>
      <c r="H524" s="164" t="s">
        <v>71</v>
      </c>
      <c r="I524" s="250">
        <v>1.4999999999999999E-2</v>
      </c>
      <c r="J524" s="149">
        <f t="shared" si="425"/>
        <v>255.15</v>
      </c>
      <c r="K524" s="151">
        <f>'LABOR SHEET'!C$6</f>
        <v>92</v>
      </c>
      <c r="L524" s="150">
        <f t="shared" si="426"/>
        <v>1.38</v>
      </c>
      <c r="M524" s="150">
        <f t="shared" si="427"/>
        <v>23473.8</v>
      </c>
      <c r="N524" s="251">
        <v>0.3</v>
      </c>
      <c r="O524" s="150">
        <f t="shared" si="428"/>
        <v>5103</v>
      </c>
      <c r="P524" s="150">
        <f t="shared" si="429"/>
        <v>1.68</v>
      </c>
      <c r="Q524" s="104">
        <f t="shared" si="430"/>
        <v>28576.799999999999</v>
      </c>
      <c r="R524" s="203"/>
      <c r="S524" s="203"/>
      <c r="T524" s="203"/>
      <c r="U524" s="203"/>
      <c r="V524" s="203"/>
      <c r="W524" s="203"/>
      <c r="X524" s="203"/>
      <c r="Y524" s="203"/>
      <c r="Z524" s="203"/>
      <c r="AA524" s="203"/>
      <c r="AB524" s="203"/>
      <c r="AC524" s="203"/>
      <c r="AD524" s="203"/>
      <c r="AE524" s="203"/>
      <c r="AF524" s="203"/>
      <c r="AG524" s="203"/>
      <c r="AH524" s="203"/>
      <c r="AI524" s="203"/>
      <c r="AJ524" s="203"/>
    </row>
    <row r="525" spans="1:36" s="32" customFormat="1">
      <c r="A525" s="131" t="str">
        <f>IF(F525&lt;&gt;"",1+MAX($A$2:A524),"")</f>
        <v/>
      </c>
      <c r="B525" s="358"/>
      <c r="C525" s="137"/>
      <c r="D525" s="167"/>
      <c r="E525" s="134"/>
      <c r="F525" s="176"/>
      <c r="G525" s="177"/>
      <c r="H525" s="164"/>
      <c r="I525" s="148"/>
      <c r="J525" s="149"/>
      <c r="K525" s="151"/>
      <c r="L525" s="150"/>
      <c r="M525" s="257"/>
      <c r="N525" s="150"/>
      <c r="O525" s="150"/>
      <c r="P525" s="150"/>
      <c r="Q525" s="152"/>
      <c r="R525" s="203"/>
      <c r="S525" s="203"/>
      <c r="T525" s="203"/>
      <c r="U525" s="203"/>
      <c r="V525" s="203"/>
      <c r="W525" s="203"/>
      <c r="X525" s="203"/>
      <c r="Y525" s="203"/>
      <c r="Z525" s="203"/>
      <c r="AA525" s="203"/>
      <c r="AB525" s="203"/>
      <c r="AC525" s="203"/>
      <c r="AD525" s="203"/>
      <c r="AE525" s="203"/>
      <c r="AF525" s="203"/>
      <c r="AG525" s="203"/>
      <c r="AH525" s="203"/>
      <c r="AI525" s="203"/>
      <c r="AJ525" s="203"/>
    </row>
    <row r="526" spans="1:36" s="32" customFormat="1">
      <c r="A526" s="131" t="str">
        <f>IF(F526&lt;&gt;"",1+MAX($A$2:A525),"")</f>
        <v/>
      </c>
      <c r="B526" s="228"/>
      <c r="C526" s="220"/>
      <c r="D526" s="71" t="s">
        <v>53</v>
      </c>
      <c r="E526" s="230"/>
      <c r="F526" s="230"/>
      <c r="G526" s="231"/>
      <c r="H526" s="230"/>
      <c r="I526" s="230"/>
      <c r="J526" s="192"/>
      <c r="K526" s="192"/>
      <c r="L526" s="193"/>
      <c r="M526" s="194"/>
      <c r="N526" s="193"/>
      <c r="O526" s="193"/>
      <c r="P526" s="249"/>
      <c r="Q526" s="199">
        <f>SUM(Q452:Q524)</f>
        <v>150767.06</v>
      </c>
      <c r="R526" s="298"/>
      <c r="S526" s="254"/>
    </row>
    <row r="527" spans="1:36" s="32" customFormat="1">
      <c r="A527" s="259" t="str">
        <f>IF(F527&lt;&gt;"",1+MAX($A$2:A526),"")</f>
        <v/>
      </c>
      <c r="B527" s="233"/>
      <c r="C527" s="233"/>
      <c r="D527" s="233"/>
      <c r="E527" s="233"/>
      <c r="F527" s="233"/>
      <c r="G527" s="233"/>
      <c r="H527" s="218"/>
      <c r="I527" s="218"/>
      <c r="J527" s="218"/>
      <c r="K527" s="218"/>
      <c r="L527" s="218"/>
      <c r="M527" s="218"/>
      <c r="N527" s="218"/>
      <c r="O527" s="218"/>
      <c r="P527" s="233"/>
      <c r="Q527" s="255"/>
      <c r="S527" s="254"/>
    </row>
    <row r="528" spans="1:36" s="31" customFormat="1" ht="31.2">
      <c r="A528" s="260"/>
      <c r="B528" s="260"/>
      <c r="C528" s="260"/>
      <c r="D528" s="260"/>
      <c r="E528" s="260"/>
      <c r="F528" s="260"/>
      <c r="G528" s="260"/>
      <c r="H528" s="341" t="s">
        <v>455</v>
      </c>
      <c r="I528" s="341"/>
      <c r="J528" s="288">
        <f>SUM(J19:J527)</f>
        <v>7029.6681325703703</v>
      </c>
      <c r="K528" s="342" t="s">
        <v>38</v>
      </c>
      <c r="L528" s="342"/>
      <c r="M528" s="289">
        <f>SUM(M19:M527)</f>
        <v>595398.92698779295</v>
      </c>
      <c r="N528" s="290" t="s">
        <v>40</v>
      </c>
      <c r="O528" s="291">
        <f>SUM(O19:O527)</f>
        <v>495444.53612159099</v>
      </c>
      <c r="P528" s="260"/>
      <c r="Q528" s="299"/>
      <c r="S528" s="202"/>
    </row>
    <row r="529" spans="1:36" s="33" customFormat="1">
      <c r="A529" s="261"/>
      <c r="B529" s="262"/>
      <c r="C529" s="263"/>
      <c r="D529" s="264" t="s">
        <v>456</v>
      </c>
      <c r="E529" s="265"/>
      <c r="F529" s="265"/>
      <c r="G529" s="266"/>
      <c r="H529" s="265"/>
      <c r="I529" s="265"/>
      <c r="J529" s="265"/>
      <c r="K529" s="265"/>
      <c r="L529" s="292"/>
      <c r="M529" s="292"/>
      <c r="N529" s="292"/>
      <c r="O529" s="292"/>
      <c r="P529" s="292"/>
      <c r="Q529" s="300">
        <f>SUM(Q8:Q527)/2</f>
        <v>1178843.4631093801</v>
      </c>
      <c r="R529" s="301"/>
    </row>
    <row r="530" spans="1:36" s="33" customFormat="1">
      <c r="A530" s="261"/>
      <c r="B530" s="262"/>
      <c r="C530" s="267"/>
      <c r="D530" s="268" t="s">
        <v>457</v>
      </c>
      <c r="E530" s="269"/>
      <c r="F530" s="263"/>
      <c r="G530" s="269"/>
      <c r="H530" s="263"/>
      <c r="I530" s="263"/>
      <c r="J530" s="263"/>
      <c r="K530" s="263"/>
      <c r="L530" s="293">
        <v>0.05</v>
      </c>
      <c r="M530" s="293"/>
      <c r="N530" s="293"/>
      <c r="O530" s="293"/>
      <c r="P530" s="293"/>
      <c r="Q530" s="300">
        <f>Q529*L530</f>
        <v>58942.173155469201</v>
      </c>
      <c r="R530" s="301"/>
      <c r="S530" s="302"/>
      <c r="T530" s="302"/>
      <c r="U530" s="302"/>
      <c r="V530" s="302"/>
      <c r="W530" s="302"/>
      <c r="X530" s="302"/>
      <c r="Y530" s="302"/>
      <c r="Z530" s="302"/>
      <c r="AA530" s="302"/>
      <c r="AB530" s="302"/>
      <c r="AC530" s="302"/>
      <c r="AD530" s="302"/>
      <c r="AE530" s="302"/>
      <c r="AF530" s="302"/>
      <c r="AG530" s="302"/>
      <c r="AH530" s="302"/>
      <c r="AI530" s="302"/>
      <c r="AJ530" s="302"/>
    </row>
    <row r="531" spans="1:36" s="33" customFormat="1">
      <c r="A531" s="270"/>
      <c r="B531" s="271"/>
      <c r="C531" s="272"/>
      <c r="D531" s="273" t="s">
        <v>458</v>
      </c>
      <c r="E531" s="274"/>
      <c r="F531" s="275"/>
      <c r="G531" s="274"/>
      <c r="H531" s="275"/>
      <c r="I531" s="275"/>
      <c r="J531" s="275"/>
      <c r="K531" s="275"/>
      <c r="L531" s="294">
        <v>0.1</v>
      </c>
      <c r="M531" s="294"/>
      <c r="N531" s="294"/>
      <c r="O531" s="294"/>
      <c r="P531" s="294"/>
      <c r="Q531" s="303">
        <f>Q529*L531</f>
        <v>117884.346310938</v>
      </c>
      <c r="R531" s="302"/>
      <c r="S531" s="302"/>
      <c r="T531" s="302"/>
      <c r="U531" s="302"/>
      <c r="V531" s="302"/>
      <c r="W531" s="302"/>
      <c r="X531" s="302"/>
      <c r="Y531" s="302"/>
      <c r="Z531" s="302"/>
      <c r="AA531" s="302"/>
      <c r="AB531" s="302"/>
      <c r="AC531" s="302"/>
      <c r="AD531" s="302"/>
      <c r="AE531" s="302"/>
      <c r="AF531" s="302"/>
      <c r="AG531" s="302"/>
      <c r="AH531" s="302"/>
      <c r="AI531" s="302"/>
      <c r="AJ531" s="302"/>
    </row>
    <row r="532" spans="1:36" s="33" customFormat="1">
      <c r="A532" s="276"/>
      <c r="B532" s="277"/>
      <c r="C532" s="278"/>
      <c r="D532" s="279" t="s">
        <v>19</v>
      </c>
      <c r="E532" s="280"/>
      <c r="F532" s="281"/>
      <c r="G532" s="280"/>
      <c r="H532" s="281"/>
      <c r="I532" s="281"/>
      <c r="J532" s="281"/>
      <c r="K532" s="281"/>
      <c r="L532" s="295">
        <v>7.2499999999999995E-2</v>
      </c>
      <c r="M532" s="295"/>
      <c r="N532" s="295"/>
      <c r="O532" s="295"/>
      <c r="P532" s="295"/>
      <c r="Q532" s="304">
        <f>O528*L532</f>
        <v>35919.728868815298</v>
      </c>
      <c r="R532" s="302"/>
      <c r="S532" s="302"/>
      <c r="T532" s="302"/>
      <c r="U532" s="302"/>
      <c r="V532" s="302"/>
      <c r="W532" s="302"/>
      <c r="X532" s="302"/>
      <c r="Y532" s="302"/>
      <c r="Z532" s="302"/>
      <c r="AA532" s="302"/>
      <c r="AB532" s="302"/>
      <c r="AC532" s="302"/>
      <c r="AD532" s="302"/>
      <c r="AE532" s="302"/>
      <c r="AF532" s="302"/>
      <c r="AG532" s="302"/>
      <c r="AH532" s="302"/>
      <c r="AI532" s="302"/>
      <c r="AJ532" s="302"/>
    </row>
    <row r="533" spans="1:36" s="33" customFormat="1">
      <c r="A533" s="276"/>
      <c r="B533" s="277"/>
      <c r="C533" s="278"/>
      <c r="D533" s="279" t="s">
        <v>20</v>
      </c>
      <c r="E533" s="280"/>
      <c r="F533" s="281"/>
      <c r="G533" s="280"/>
      <c r="H533" s="281"/>
      <c r="I533" s="281"/>
      <c r="J533" s="281"/>
      <c r="K533" s="281"/>
      <c r="L533" s="296">
        <v>1.4999999999999999E-2</v>
      </c>
      <c r="M533" s="296"/>
      <c r="N533" s="296"/>
      <c r="O533" s="296"/>
      <c r="P533" s="296"/>
      <c r="Q533" s="304">
        <f>Q529*L533</f>
        <v>17682.651946640799</v>
      </c>
      <c r="R533" s="302"/>
      <c r="S533" s="302"/>
      <c r="T533" s="302"/>
      <c r="U533" s="302"/>
      <c r="V533" s="302"/>
      <c r="W533" s="302"/>
      <c r="X533" s="302"/>
      <c r="Y533" s="302"/>
      <c r="Z533" s="302"/>
      <c r="AA533" s="302"/>
      <c r="AB533" s="302"/>
      <c r="AC533" s="302"/>
      <c r="AD533" s="302"/>
      <c r="AE533" s="302"/>
      <c r="AF533" s="302"/>
      <c r="AG533" s="302"/>
      <c r="AH533" s="302"/>
      <c r="AI533" s="302"/>
      <c r="AJ533" s="302"/>
    </row>
    <row r="534" spans="1:36" s="33" customFormat="1">
      <c r="A534" s="282"/>
      <c r="B534" s="283"/>
      <c r="C534" s="284"/>
      <c r="D534" s="285" t="s">
        <v>21</v>
      </c>
      <c r="E534" s="286"/>
      <c r="F534" s="286"/>
      <c r="G534" s="287"/>
      <c r="H534" s="286"/>
      <c r="I534" s="286"/>
      <c r="J534" s="286"/>
      <c r="K534" s="286"/>
      <c r="L534" s="297"/>
      <c r="M534" s="297"/>
      <c r="N534" s="297"/>
      <c r="O534" s="297"/>
      <c r="P534" s="297"/>
      <c r="Q534" s="305">
        <f>SUM(Q529:Q533)</f>
        <v>1409272.3633912499</v>
      </c>
    </row>
  </sheetData>
  <mergeCells count="18">
    <mergeCell ref="B452:B525"/>
    <mergeCell ref="Q8:Q14"/>
    <mergeCell ref="A2:Q2"/>
    <mergeCell ref="B3:C3"/>
    <mergeCell ref="B4:C4"/>
    <mergeCell ref="B5:C5"/>
    <mergeCell ref="H528:I528"/>
    <mergeCell ref="K528:L528"/>
    <mergeCell ref="B19:B80"/>
    <mergeCell ref="B85:B95"/>
    <mergeCell ref="B100:B104"/>
    <mergeCell ref="B109:B116"/>
    <mergeCell ref="B121:B137"/>
    <mergeCell ref="B142:B264"/>
    <mergeCell ref="B269:B281"/>
    <mergeCell ref="B286:B295"/>
    <mergeCell ref="B302:B331"/>
    <mergeCell ref="B337:B446"/>
  </mergeCells>
  <printOptions horizontalCentered="1"/>
  <pageMargins left="0.7" right="0.7" top="0.75" bottom="0.75" header="0.3" footer="0.3"/>
  <pageSetup paperSize="9" scale="36" fitToHeight="0" orientation="portrait"/>
  <headerFooter scaleWithDoc="0" alignWithMargins="0"/>
  <ignoredErrors>
    <ignoredError sqref="K65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46"/>
  <sheetViews>
    <sheetView workbookViewId="0">
      <selection activeCell="C3" sqref="C3"/>
    </sheetView>
  </sheetViews>
  <sheetFormatPr defaultColWidth="9.09765625" defaultRowHeight="14.4"/>
  <cols>
    <col min="1" max="1" width="26.8984375" style="1" customWidth="1"/>
    <col min="2" max="2" width="19.59765625" style="2" customWidth="1"/>
    <col min="3" max="3" width="20.5" style="2" customWidth="1"/>
    <col min="4" max="16384" width="9.09765625" style="2"/>
  </cols>
  <sheetData>
    <row r="1" spans="1:3" ht="15.6">
      <c r="A1" s="3"/>
      <c r="B1" s="4" t="s">
        <v>459</v>
      </c>
      <c r="C1" s="5" t="s">
        <v>460</v>
      </c>
    </row>
    <row r="2" spans="1:3" ht="15.6">
      <c r="A2" s="6"/>
      <c r="B2" s="7"/>
      <c r="C2" s="8"/>
    </row>
    <row r="3" spans="1:3" ht="15.6">
      <c r="A3" s="9" t="s">
        <v>461</v>
      </c>
      <c r="B3" s="10" t="s">
        <v>462</v>
      </c>
      <c r="C3" s="11">
        <v>83.49</v>
      </c>
    </row>
    <row r="4" spans="1:3" ht="15.6">
      <c r="A4" s="9" t="s">
        <v>13</v>
      </c>
      <c r="B4" s="10" t="s">
        <v>463</v>
      </c>
      <c r="C4" s="11">
        <v>96.91</v>
      </c>
    </row>
    <row r="5" spans="1:3" ht="15.6">
      <c r="A5" s="9" t="s">
        <v>464</v>
      </c>
      <c r="B5" s="10" t="s">
        <v>465</v>
      </c>
      <c r="C5" s="11">
        <v>96.91</v>
      </c>
    </row>
    <row r="6" spans="1:3" ht="15.6">
      <c r="A6" s="9" t="s">
        <v>15</v>
      </c>
      <c r="B6" s="10" t="s">
        <v>466</v>
      </c>
      <c r="C6" s="11">
        <v>92</v>
      </c>
    </row>
    <row r="7" spans="1:3" ht="15.6">
      <c r="A7" s="9" t="s">
        <v>467</v>
      </c>
      <c r="B7" s="10" t="s">
        <v>467</v>
      </c>
      <c r="C7" s="11">
        <v>83.49</v>
      </c>
    </row>
    <row r="8" spans="1:3" ht="15.6">
      <c r="A8" s="9" t="s">
        <v>468</v>
      </c>
      <c r="B8" s="10" t="s">
        <v>468</v>
      </c>
      <c r="C8" s="11">
        <v>75</v>
      </c>
    </row>
    <row r="9" spans="1:3" ht="15.6">
      <c r="A9" s="9" t="s">
        <v>469</v>
      </c>
      <c r="B9" s="10" t="s">
        <v>470</v>
      </c>
      <c r="C9" s="11">
        <v>70.3</v>
      </c>
    </row>
    <row r="10" spans="1:3" ht="15.6">
      <c r="A10" s="9" t="s">
        <v>471</v>
      </c>
      <c r="B10" s="10" t="s">
        <v>472</v>
      </c>
      <c r="C10" s="11">
        <v>77.95</v>
      </c>
    </row>
    <row r="11" spans="1:3" ht="15.6">
      <c r="A11" s="9" t="s">
        <v>6</v>
      </c>
      <c r="B11" s="10" t="s">
        <v>473</v>
      </c>
      <c r="C11" s="11">
        <v>70</v>
      </c>
    </row>
    <row r="12" spans="1:3" ht="15.6">
      <c r="A12" s="9" t="s">
        <v>474</v>
      </c>
      <c r="B12" s="10" t="s">
        <v>475</v>
      </c>
      <c r="C12" s="11">
        <v>74.5</v>
      </c>
    </row>
    <row r="13" spans="1:3" ht="15.6">
      <c r="A13" s="9" t="s">
        <v>476</v>
      </c>
      <c r="B13" s="10" t="s">
        <v>477</v>
      </c>
      <c r="C13" s="11">
        <v>60</v>
      </c>
    </row>
    <row r="14" spans="1:3" ht="15.6">
      <c r="A14" s="12"/>
      <c r="B14" s="13"/>
      <c r="C14" s="14"/>
    </row>
    <row r="15" spans="1:3">
      <c r="A15" s="3"/>
      <c r="B15" s="3"/>
      <c r="C15" s="3"/>
    </row>
    <row r="16" spans="1:3">
      <c r="A16" s="3"/>
      <c r="B16" s="3"/>
      <c r="C16" s="3"/>
    </row>
    <row r="17" spans="1:3" ht="15.6">
      <c r="A17" s="3"/>
      <c r="B17" s="364" t="s">
        <v>31</v>
      </c>
      <c r="C17" s="365"/>
    </row>
    <row r="18" spans="1:3" ht="15.6">
      <c r="A18" s="15" t="s">
        <v>478</v>
      </c>
      <c r="B18" s="16" t="s">
        <v>81</v>
      </c>
      <c r="C18" s="17">
        <v>0</v>
      </c>
    </row>
    <row r="19" spans="1:3" ht="15.6">
      <c r="A19" s="18" t="s">
        <v>479</v>
      </c>
      <c r="B19" s="19" t="s">
        <v>71</v>
      </c>
      <c r="C19" s="20">
        <v>0.05</v>
      </c>
    </row>
    <row r="20" spans="1:3" ht="15.6">
      <c r="A20" s="18" t="s">
        <v>480</v>
      </c>
      <c r="B20" s="19" t="s">
        <v>58</v>
      </c>
      <c r="C20" s="20">
        <v>0.1</v>
      </c>
    </row>
    <row r="21" spans="1:3" ht="15.6">
      <c r="A21" s="18" t="s">
        <v>481</v>
      </c>
      <c r="B21" s="19" t="s">
        <v>482</v>
      </c>
      <c r="C21" s="20">
        <v>0.1</v>
      </c>
    </row>
    <row r="22" spans="1:3" ht="15.6">
      <c r="A22" s="18" t="s">
        <v>483</v>
      </c>
      <c r="B22" s="19" t="s">
        <v>124</v>
      </c>
      <c r="C22" s="20">
        <v>0.1</v>
      </c>
    </row>
    <row r="23" spans="1:3" ht="15.6">
      <c r="A23" s="18" t="s">
        <v>484</v>
      </c>
      <c r="B23" s="19" t="s">
        <v>45</v>
      </c>
      <c r="C23" s="20">
        <v>0</v>
      </c>
    </row>
    <row r="24" spans="1:3" ht="15.6">
      <c r="A24" s="18" t="s">
        <v>485</v>
      </c>
      <c r="B24" s="19" t="s">
        <v>486</v>
      </c>
      <c r="C24" s="20">
        <v>0</v>
      </c>
    </row>
    <row r="25" spans="1:3" ht="15.6">
      <c r="A25" s="18" t="s">
        <v>487</v>
      </c>
      <c r="B25" s="19" t="s">
        <v>488</v>
      </c>
      <c r="C25" s="20">
        <v>0</v>
      </c>
    </row>
    <row r="26" spans="1:3" ht="15.6">
      <c r="A26" s="18" t="s">
        <v>489</v>
      </c>
      <c r="B26" s="19" t="s">
        <v>490</v>
      </c>
      <c r="C26" s="20">
        <v>0</v>
      </c>
    </row>
    <row r="27" spans="1:3" ht="15.6">
      <c r="A27" s="18" t="s">
        <v>491</v>
      </c>
      <c r="B27" s="19" t="s">
        <v>492</v>
      </c>
      <c r="C27" s="20">
        <v>0</v>
      </c>
    </row>
    <row r="28" spans="1:3" ht="15.6">
      <c r="A28" s="18" t="s">
        <v>493</v>
      </c>
      <c r="B28" s="19" t="s">
        <v>494</v>
      </c>
      <c r="C28" s="20">
        <v>0.1</v>
      </c>
    </row>
    <row r="29" spans="1:3" ht="15.6">
      <c r="A29" s="18" t="s">
        <v>495</v>
      </c>
      <c r="B29" s="19" t="s">
        <v>496</v>
      </c>
      <c r="C29" s="20">
        <v>0.1</v>
      </c>
    </row>
    <row r="30" spans="1:3" ht="15.6">
      <c r="A30" s="18" t="s">
        <v>497</v>
      </c>
      <c r="B30" s="19" t="s">
        <v>498</v>
      </c>
      <c r="C30" s="20">
        <v>0</v>
      </c>
    </row>
    <row r="31" spans="1:3" ht="15.6">
      <c r="A31" s="18" t="s">
        <v>499</v>
      </c>
      <c r="B31" s="19" t="s">
        <v>500</v>
      </c>
      <c r="C31" s="20">
        <v>0</v>
      </c>
    </row>
    <row r="32" spans="1:3" ht="15.6">
      <c r="A32" s="18" t="s">
        <v>501</v>
      </c>
      <c r="B32" s="19" t="s">
        <v>501</v>
      </c>
      <c r="C32" s="20">
        <v>0.1</v>
      </c>
    </row>
    <row r="33" spans="1:8" ht="15.6">
      <c r="A33" s="18" t="s">
        <v>502</v>
      </c>
      <c r="B33" s="19" t="s">
        <v>503</v>
      </c>
      <c r="C33" s="20">
        <v>0</v>
      </c>
    </row>
    <row r="34" spans="1:8" ht="15.6">
      <c r="A34" s="18" t="s">
        <v>504</v>
      </c>
      <c r="B34" s="19" t="s">
        <v>505</v>
      </c>
      <c r="C34" s="20">
        <v>0</v>
      </c>
    </row>
    <row r="35" spans="1:8" ht="15.6">
      <c r="A35" s="18" t="s">
        <v>506</v>
      </c>
      <c r="B35" s="19" t="s">
        <v>507</v>
      </c>
      <c r="C35" s="20">
        <v>0</v>
      </c>
    </row>
    <row r="36" spans="1:8" ht="15.6">
      <c r="A36" s="18" t="s">
        <v>497</v>
      </c>
      <c r="B36" s="19" t="s">
        <v>508</v>
      </c>
      <c r="C36" s="20">
        <v>0</v>
      </c>
    </row>
    <row r="37" spans="1:8" ht="15.6">
      <c r="A37" s="18" t="s">
        <v>509</v>
      </c>
      <c r="B37" s="19" t="s">
        <v>510</v>
      </c>
      <c r="C37" s="20">
        <v>0</v>
      </c>
    </row>
    <row r="38" spans="1:8" ht="15.6">
      <c r="A38" s="18" t="s">
        <v>511</v>
      </c>
      <c r="B38" s="19" t="s">
        <v>512</v>
      </c>
      <c r="C38" s="20">
        <v>0</v>
      </c>
    </row>
    <row r="39" spans="1:8" ht="15.6">
      <c r="A39" s="18" t="s">
        <v>513</v>
      </c>
      <c r="B39" s="19" t="s">
        <v>514</v>
      </c>
      <c r="C39" s="20">
        <v>0.1</v>
      </c>
    </row>
    <row r="40" spans="1:8" ht="15.6">
      <c r="A40" s="21" t="s">
        <v>515</v>
      </c>
      <c r="B40" s="22" t="s">
        <v>515</v>
      </c>
      <c r="C40" s="23">
        <v>0</v>
      </c>
    </row>
    <row r="43" spans="1:8">
      <c r="A43" s="24" t="s">
        <v>516</v>
      </c>
      <c r="B43" s="25"/>
      <c r="C43" s="25"/>
      <c r="D43" s="25"/>
      <c r="E43" s="25"/>
      <c r="F43" s="25"/>
      <c r="G43" s="25"/>
      <c r="H43" s="25"/>
    </row>
    <row r="44" spans="1:8">
      <c r="A44" s="25" t="s">
        <v>517</v>
      </c>
      <c r="B44" s="25"/>
      <c r="C44" s="25"/>
      <c r="D44" s="25"/>
      <c r="E44" s="25"/>
      <c r="F44" s="25"/>
      <c r="G44" s="25"/>
      <c r="H44" s="25"/>
    </row>
    <row r="45" spans="1:8">
      <c r="A45" s="25" t="s">
        <v>518</v>
      </c>
      <c r="B45" s="25"/>
      <c r="C45" s="25"/>
      <c r="D45" s="25"/>
      <c r="E45" s="25"/>
      <c r="F45" s="25"/>
      <c r="G45" s="25"/>
      <c r="H45" s="25"/>
    </row>
    <row r="46" spans="1:8">
      <c r="A46" s="25" t="s">
        <v>519</v>
      </c>
      <c r="B46" s="25"/>
      <c r="C46" s="25"/>
      <c r="D46" s="25"/>
      <c r="E46" s="25"/>
      <c r="F46" s="25"/>
      <c r="G46" s="25"/>
      <c r="H46" s="25"/>
    </row>
  </sheetData>
  <mergeCells count="1">
    <mergeCell ref="B17:C17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F47021E2-8793-411E-B075-318530D433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General Summary</vt:lpstr>
      <vt:lpstr>Takeoff Breakdown</vt:lpstr>
      <vt:lpstr>LABOR SHEET</vt:lpstr>
      <vt:lpstr>'General Summary'!Print_Area</vt:lpstr>
      <vt:lpstr>'Takeoff Breakdown'!Print_Area</vt:lpstr>
      <vt:lpstr>'Takeoff Breakdown'!Print_Titles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CH Shahzaib</cp:lastModifiedBy>
  <cp:lastPrinted>2023-01-11T20:23:00Z</cp:lastPrinted>
  <dcterms:created xsi:type="dcterms:W3CDTF">2016-03-30T11:57:00Z</dcterms:created>
  <dcterms:modified xsi:type="dcterms:W3CDTF">2026-08-07T19:59:18Z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{F47021E2-8793-411E-B075-318530D4334E}</vt:lpwstr>
  </property>
  <property fmtid="{D5CDD505-2E9C-101B-9397-08002B2CF9AE}" pid="6" name="ICV">
    <vt:lpwstr>EC1FCEACD50048F7BE22E171269F4281_12</vt:lpwstr>
  </property>
  <property fmtid="{D5CDD505-2E9C-101B-9397-08002B2CF9AE}" pid="7" name="KSOProductBuildVer">
    <vt:lpwstr>1033-12.2.0.21931</vt:lpwstr>
  </property>
</Properties>
</file>