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E24D52C2-464F-4F18-9704-16E9E784F47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Breakdown'!$A$17:$AJ$49</definedName>
    <definedName name="_xlnm.Print_Area" localSheetId="0">'General Summary'!$A$1:$N$12</definedName>
    <definedName name="_xlnm.Print_Area" localSheetId="1">'Takeoff Breakdown'!$A$2:$Q$49</definedName>
    <definedName name="_xlnm.Print_Titles" localSheetId="1">'Takeoff Breakdown'!$1:$6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9" i="1" l="1"/>
  <c r="Q48" i="1"/>
  <c r="Q47" i="1"/>
  <c r="Q46" i="1"/>
  <c r="Q45" i="1"/>
  <c r="Q44" i="1"/>
  <c r="O43" i="1"/>
  <c r="M43" i="1"/>
  <c r="J43" i="1"/>
  <c r="Q42" i="1"/>
  <c r="A42" i="1"/>
  <c r="A41" i="1"/>
  <c r="Q40" i="1"/>
  <c r="P40" i="1"/>
  <c r="O40" i="1"/>
  <c r="M40" i="1"/>
  <c r="L40" i="1"/>
  <c r="J40" i="1"/>
  <c r="G40" i="1"/>
  <c r="E40" i="1"/>
  <c r="A40" i="1"/>
  <c r="Q38" i="1"/>
  <c r="P38" i="1"/>
  <c r="O38" i="1"/>
  <c r="M38" i="1"/>
  <c r="L38" i="1"/>
  <c r="J38" i="1"/>
  <c r="G38" i="1"/>
  <c r="E38" i="1"/>
  <c r="A38" i="1"/>
  <c r="G37" i="1"/>
  <c r="A37" i="1"/>
  <c r="A36" i="1"/>
  <c r="A35" i="1"/>
  <c r="A34" i="1"/>
  <c r="Q33" i="1"/>
  <c r="P33" i="1"/>
  <c r="O33" i="1"/>
  <c r="M33" i="1"/>
  <c r="L33" i="1"/>
  <c r="J33" i="1"/>
  <c r="G33" i="1"/>
  <c r="E33" i="1"/>
  <c r="A33" i="1"/>
  <c r="Q32" i="1"/>
  <c r="P32" i="1"/>
  <c r="O32" i="1"/>
  <c r="M32" i="1"/>
  <c r="L32" i="1"/>
  <c r="J32" i="1"/>
  <c r="G32" i="1"/>
  <c r="A32" i="1"/>
  <c r="A31" i="1"/>
  <c r="A30" i="1"/>
  <c r="Q29" i="1"/>
  <c r="P29" i="1"/>
  <c r="O29" i="1"/>
  <c r="M29" i="1"/>
  <c r="L29" i="1"/>
  <c r="J29" i="1"/>
  <c r="G29" i="1"/>
  <c r="A29" i="1"/>
  <c r="Q28" i="1"/>
  <c r="P28" i="1"/>
  <c r="O28" i="1"/>
  <c r="M28" i="1"/>
  <c r="L28" i="1"/>
  <c r="J28" i="1"/>
  <c r="G28" i="1"/>
  <c r="E28" i="1"/>
  <c r="A28" i="1"/>
  <c r="A27" i="1"/>
  <c r="A26" i="1"/>
  <c r="Q25" i="1"/>
  <c r="P25" i="1"/>
  <c r="O25" i="1"/>
  <c r="M25" i="1"/>
  <c r="L25" i="1"/>
  <c r="J25" i="1"/>
  <c r="G25" i="1"/>
  <c r="E25" i="1"/>
  <c r="A25" i="1"/>
  <c r="Q24" i="1"/>
  <c r="P24" i="1"/>
  <c r="O24" i="1"/>
  <c r="M24" i="1"/>
  <c r="L24" i="1"/>
  <c r="J24" i="1"/>
  <c r="G24" i="1"/>
  <c r="E24" i="1"/>
  <c r="A24" i="1"/>
  <c r="Q23" i="1"/>
  <c r="P23" i="1"/>
  <c r="O23" i="1"/>
  <c r="M23" i="1"/>
  <c r="L23" i="1"/>
  <c r="J23" i="1"/>
  <c r="G23" i="1"/>
  <c r="E23" i="1"/>
  <c r="A23" i="1"/>
  <c r="Q22" i="1"/>
  <c r="P22" i="1"/>
  <c r="O22" i="1"/>
  <c r="M22" i="1"/>
  <c r="L22" i="1"/>
  <c r="J22" i="1"/>
  <c r="G22" i="1"/>
  <c r="E22" i="1"/>
  <c r="A22" i="1"/>
  <c r="Q21" i="1"/>
  <c r="P21" i="1"/>
  <c r="O21" i="1"/>
  <c r="M21" i="1"/>
  <c r="L21" i="1"/>
  <c r="J21" i="1"/>
  <c r="G21" i="1"/>
  <c r="E21" i="1"/>
  <c r="A21" i="1"/>
  <c r="Q20" i="1"/>
  <c r="P20" i="1"/>
  <c r="O20" i="1"/>
  <c r="M20" i="1"/>
  <c r="L20" i="1"/>
  <c r="J20" i="1"/>
  <c r="G20" i="1"/>
  <c r="E20" i="1"/>
  <c r="A20" i="1"/>
  <c r="E19" i="1"/>
  <c r="A19" i="1"/>
  <c r="A18" i="1"/>
  <c r="A17" i="1"/>
  <c r="A16" i="1"/>
  <c r="Q15" i="1"/>
  <c r="A15" i="1"/>
  <c r="Q14" i="1"/>
  <c r="O14" i="1"/>
  <c r="M14" i="1"/>
  <c r="L14" i="1"/>
  <c r="J14" i="1"/>
  <c r="G14" i="1"/>
  <c r="A14" i="1"/>
  <c r="Q13" i="1"/>
  <c r="O13" i="1"/>
  <c r="M13" i="1"/>
  <c r="L13" i="1"/>
  <c r="J13" i="1"/>
  <c r="G13" i="1"/>
  <c r="A13" i="1"/>
  <c r="Q12" i="1"/>
  <c r="O12" i="1"/>
  <c r="M12" i="1"/>
  <c r="L12" i="1"/>
  <c r="J12" i="1"/>
  <c r="G12" i="1"/>
  <c r="A12" i="1"/>
  <c r="Q11" i="1"/>
  <c r="O11" i="1"/>
  <c r="M11" i="1"/>
  <c r="L11" i="1"/>
  <c r="J11" i="1"/>
  <c r="G11" i="1"/>
  <c r="A11" i="1"/>
  <c r="Q10" i="1"/>
  <c r="O10" i="1"/>
  <c r="M10" i="1"/>
  <c r="L10" i="1"/>
  <c r="J10" i="1"/>
  <c r="G10" i="1"/>
  <c r="A10" i="1"/>
  <c r="Q9" i="1"/>
  <c r="O9" i="1"/>
  <c r="M9" i="1"/>
  <c r="L9" i="1"/>
  <c r="J9" i="1"/>
  <c r="G9" i="1"/>
  <c r="A9" i="1"/>
  <c r="Q8" i="1"/>
  <c r="O8" i="1"/>
  <c r="M8" i="1"/>
  <c r="L8" i="1"/>
  <c r="J8" i="1"/>
  <c r="G8" i="1"/>
  <c r="A8" i="1"/>
  <c r="C12" i="4"/>
  <c r="C11" i="4"/>
  <c r="C10" i="4"/>
  <c r="C9" i="4"/>
  <c r="C8" i="4"/>
  <c r="C6" i="4"/>
  <c r="C5" i="4"/>
  <c r="C4" i="4"/>
</calcChain>
</file>

<file path=xl/sharedStrings.xml><?xml version="1.0" encoding="utf-8"?>
<sst xmlns="http://schemas.openxmlformats.org/spreadsheetml/2006/main" count="181" uniqueCount="142">
  <si>
    <t>GENERAL SUMMARY</t>
  </si>
  <si>
    <t>DIVISION NO.</t>
  </si>
  <si>
    <t>DESCRIPTION</t>
  </si>
  <si>
    <t>TOTAL DIV. COST</t>
  </si>
  <si>
    <t>General Requirments</t>
  </si>
  <si>
    <t>Concrete</t>
  </si>
  <si>
    <t>TOTAL TRADE COST</t>
  </si>
  <si>
    <t>CONTINGENCY</t>
  </si>
  <si>
    <t>OVERHEAD &amp; PROFIT (20%)</t>
  </si>
  <si>
    <t>TAX (6.63%)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</si>
  <si>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</si>
  <si>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</si>
  <si>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</si>
  <si>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</si>
  <si>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</si>
  <si>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</si>
  <si>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CONCRETE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</si>
  <si>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</si>
  <si>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</si>
  <si>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</si>
  <si>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</si>
  <si>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</si>
  <si>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</si>
  <si>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</si>
  <si>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</si>
  <si>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</si>
  <si>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</si>
  <si>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</si>
  <si>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</si>
  <si>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</si>
  <si>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</si>
  <si>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</si>
  <si>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</si>
  <si>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</si>
  <si>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</si>
  <si>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</si>
  <si>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</si>
  <si>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</si>
  <si>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</si>
  <si>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</si>
  <si>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</si>
  <si>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</si>
  <si>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</si>
  <si>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03- CONCRETE</t>
  </si>
  <si>
    <t>FOOTING</t>
  </si>
  <si>
    <t>FULL DEPTH CONCRETE SLAB ON METAL DECK REPAIR</t>
  </si>
  <si>
    <t>SF</t>
  </si>
  <si>
    <t>SAWCUT CONCRETE</t>
  </si>
  <si>
    <t>LF</t>
  </si>
  <si>
    <t>REMOVE EXISTING CONCRETE</t>
  </si>
  <si>
    <t>5000 PSI FIBER REINFORCED CONCRETE</t>
  </si>
  <si>
    <t>CY</t>
  </si>
  <si>
    <t>NEW W4xW4 —W4.0 X 4.0 EPOXY COATED WIREMESH</t>
  </si>
  <si>
    <t>1/2"X1/2" JOINT ALONG CONCRETE PERIMETER INSTALL APPROVED JOINT SEALANT</t>
  </si>
  <si>
    <t>#4 EPOXY COATED REBAR 2' LONG @ 18" O.C. 6" EMBEDED IN EXISTING SLAB</t>
  </si>
  <si>
    <t>LBS</t>
  </si>
  <si>
    <t>CONCRETE SLAB SCALING REPAIR</t>
  </si>
  <si>
    <t>1/2" THICK CEMENTITIOUS PATCHING MORTAR</t>
  </si>
  <si>
    <t>REMOVE CONCRETE 7/8" DEEP x 6" WIDE ALONG PERIPHERY WORK OF WORK AREA USING CHIPPING HAMMERS &amp; REPLACE IT</t>
  </si>
  <si>
    <t>EXTERIOR PANEL REPAIR</t>
  </si>
  <si>
    <t>SAWCUT 1/4" AT REPAIR AREAS</t>
  </si>
  <si>
    <t>SPALLED CONCRETE TO BE REMOVED. SANDBLAST CLEAN EXPOSED REBARS AND PATCH WITH TROWEL APPLIED APPROVED PATCHING MATERIAL.
(FORM &amp; POUR IF THE AREA IS BIGGER THAN 5 SF)</t>
  </si>
  <si>
    <t>APPROVED MATERIALS
1- SIKAREPAIR SHB, SHA WITH LATEX R BY SIKA CORPORATION.
2 - MASTER EMACO N400, N400RS BY BASE.
3 -APPROVED EQUAL.</t>
  </si>
  <si>
    <t>COLUMN ENCASEMENT SPALL TO BE REPAIRED (11' H) (ASSUMING 12"X12" SIZE)</t>
  </si>
  <si>
    <t>EA</t>
  </si>
  <si>
    <t>PATCH WITH APPROVED PATCHING MATERIAL
SANDBLAST CLEAN EXPOSED STEEL COLUMN AND REINFORCE AS DIRECTED BY THE ENGINEER
INSTALL 1/4" DIA. STAINLESS STEEL PINS @ 6" O.C. DRILL IN MIN. 4" AND EPOXY GROUT;
ALTERNATIVELY, HOOP BARS SHOULD BE INSTALLED AS DIRECTED BY ENGINEER</t>
  </si>
  <si>
    <r>
      <rPr>
        <b/>
        <sz val="12"/>
        <color theme="1"/>
        <rFont val="Calibri"/>
        <charset val="134"/>
      </rPr>
      <t xml:space="preserve">ROUT &amp; SEAL ALL CRACKS PRIOR TO WATERPROOFING </t>
    </r>
    <r>
      <rPr>
        <b/>
        <sz val="12"/>
        <color rgb="FFFF0000"/>
        <rFont val="Calibri"/>
        <charset val="134"/>
      </rPr>
      <t>( VIF, IF REQUIRED)</t>
    </r>
  </si>
  <si>
    <t>TOTAL LABOR HOURS</t>
  </si>
  <si>
    <t>TOTAL AMOUNT</t>
  </si>
  <si>
    <t>CONTIGENCIES (5%)</t>
  </si>
  <si>
    <t>Labor Type</t>
  </si>
  <si>
    <t>Labor Rate</t>
  </si>
  <si>
    <t>Carpenter</t>
  </si>
  <si>
    <t>CARP</t>
  </si>
  <si>
    <t>Plumbing</t>
  </si>
  <si>
    <t>Plum</t>
  </si>
  <si>
    <t>Mechanical</t>
  </si>
  <si>
    <t>Mech</t>
  </si>
  <si>
    <t>Electrical</t>
  </si>
  <si>
    <t>Elec</t>
  </si>
  <si>
    <t>Earthwork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</si>
  <si>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</si>
  <si>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</si>
  <si>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</si>
  <si>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</si>
  <si>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</si>
  <si>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</si>
  <si>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</si>
  <si>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</si>
  <si>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</si>
  <si>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B14S</t>
  </si>
  <si>
    <t>Metal</t>
  </si>
  <si>
    <t>Steel</t>
  </si>
  <si>
    <t>Roofing</t>
  </si>
  <si>
    <t>Roofer</t>
  </si>
  <si>
    <t>Genral Labor</t>
  </si>
  <si>
    <t>Labor</t>
  </si>
  <si>
    <t>Exterior Improvement</t>
  </si>
  <si>
    <t>B15S</t>
  </si>
  <si>
    <t>Misc</t>
  </si>
  <si>
    <t>Manhour Increase Factor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</si>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</sst>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6" formatCode="_(&quot;$&quot;* #,##0.0_);_(&quot;$&quot;* \(#,##0.0\);_(&quot;$&quot;* &quot;-&quot;??_);_(@_)"/>
    <numFmt numFmtId="167" formatCode="_(&quot;$&quot;* #,##0_);_(&quot;$&quot;* \(#,##0\);_(&quot;$&quot;* &quot;-&quot;??_);_(@_)"/>
    <numFmt numFmtId="168" formatCode="000000"/>
    <numFmt numFmtId="169" formatCode="0.000"/>
    <numFmt numFmtId="170" formatCode="0.0"/>
    <numFmt numFmtId="171" formatCode="0.0%"/>
    <numFmt numFmtId="172" formatCode="[$-409]d/mmm/yy;@"/>
    <numFmt numFmtId="173" formatCode="_-[$$-409]* #,##0.00_ ;_-[$$-409]* \-#,##0.00\ ;_-[$$-409]* &quot;-&quot;??_ ;_-@_ "/>
    <numFmt numFmtId="174" formatCode="_-* #,##0.00_-;\-* #,##0.00_-;_-* &quot;-&quot;??_-;_-@_-"/>
  </numFmts>
  <fonts count="37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b/>
      <sz val="12"/>
      <color indexed="8"/>
      <name val="Calibri"/>
      <charset val="134"/>
    </font>
    <font>
      <b/>
      <sz val="12"/>
      <color rgb="FF0000CC"/>
      <name val="Calibri"/>
      <charset val="134"/>
    </font>
    <font>
      <sz val="12"/>
      <color rgb="FFFF0000"/>
      <name val="Calibri"/>
      <charset val="134"/>
    </font>
    <font>
      <b/>
      <sz val="12"/>
      <name val="Calibri"/>
      <charset val="134"/>
    </font>
    <font>
      <b/>
      <sz val="12"/>
      <color rgb="FF000000"/>
      <name val="Calibri"/>
      <charset val="134"/>
    </font>
    <font>
      <b/>
      <sz val="12"/>
      <color rgb="FF0C0C0C"/>
      <name val="Calibri"/>
      <charset val="134"/>
    </font>
    <font>
      <b/>
      <sz val="12"/>
      <color theme="6"/>
      <name val="Calibri"/>
      <charset val="134"/>
    </font>
    <font>
      <b/>
      <sz val="11"/>
      <color rgb="FF000000"/>
      <name val="Calibri"/>
      <charset val="134"/>
    </font>
    <font>
      <sz val="16"/>
      <color rgb="FFFFFFFF"/>
      <name val="Calibri"/>
      <charset val="134"/>
    </font>
    <font>
      <sz val="14"/>
      <color rgb="FFFFFFFF"/>
      <name val="Calibri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b/>
      <sz val="12"/>
      <color rgb="FFFF0000"/>
      <name val="Calibri"/>
      <charset val="134"/>
    </font>
    <font>
      <sz val="11"/>
      <color theme="1"/>
      <name val="Tw Cen MT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17" borderId="42" applyNumberFormat="0" applyFont="0" applyAlignment="0" applyProtection="0"/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6" fillId="0" borderId="0"/>
    <xf numFmtId="0" fontId="32" fillId="0" borderId="0"/>
    <xf numFmtId="0" fontId="33" fillId="0" borderId="0">
      <protection locked="0"/>
    </xf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1" fontId="34" fillId="2" borderId="15">
      <alignment horizontal="center" vertical="center"/>
    </xf>
  </cellStyleXfs>
  <cellXfs count="222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4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44" fontId="4" fillId="4" borderId="7" xfId="6" applyFont="1" applyFill="1" applyBorder="1"/>
    <xf numFmtId="166" fontId="4" fillId="4" borderId="7" xfId="6" applyNumberFormat="1" applyFont="1" applyFill="1" applyBorder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7" fontId="4" fillId="4" borderId="10" xfId="6" applyNumberFormat="1" applyFont="1" applyFill="1" applyBorder="1"/>
    <xf numFmtId="0" fontId="3" fillId="3" borderId="1" xfId="7" applyFont="1" applyFill="1" applyBorder="1" applyAlignment="1">
      <alignment horizontal="right"/>
    </xf>
    <xf numFmtId="9" fontId="3" fillId="3" borderId="2" xfId="1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1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1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1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168" fontId="16" fillId="8" borderId="12" xfId="0" applyNumberFormat="1" applyFont="1" applyFill="1" applyBorder="1" applyAlignment="1">
      <alignment horizontal="center" vertical="center" wrapText="1"/>
    </xf>
    <xf numFmtId="168" fontId="16" fillId="8" borderId="13" xfId="0" applyNumberFormat="1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168" fontId="18" fillId="9" borderId="14" xfId="0" applyNumberFormat="1" applyFont="1" applyFill="1" applyBorder="1" applyAlignment="1">
      <alignment horizontal="center" vertical="center" wrapText="1"/>
    </xf>
    <xf numFmtId="168" fontId="18" fillId="9" borderId="15" xfId="0" applyNumberFormat="1" applyFont="1" applyFill="1" applyBorder="1" applyAlignment="1">
      <alignment horizontal="center" vertical="center" wrapText="1"/>
    </xf>
    <xf numFmtId="168" fontId="16" fillId="8" borderId="15" xfId="0" applyNumberFormat="1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center" wrapText="1"/>
    </xf>
    <xf numFmtId="1" fontId="12" fillId="2" borderId="12" xfId="3" applyNumberFormat="1" applyFont="1" applyFill="1" applyBorder="1" applyAlignment="1">
      <alignment horizontal="center" vertical="center"/>
    </xf>
    <xf numFmtId="1" fontId="12" fillId="2" borderId="16" xfId="3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2" fillId="2" borderId="14" xfId="3" applyNumberFormat="1" applyFont="1" applyFill="1" applyBorder="1" applyAlignment="1">
      <alignment horizontal="center" vertical="center"/>
    </xf>
    <xf numFmtId="1" fontId="12" fillId="2" borderId="17" xfId="3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9" fontId="7" fillId="0" borderId="1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20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7" fillId="8" borderId="15" xfId="0" applyFont="1" applyFill="1" applyBorder="1" applyAlignment="1">
      <alignment horizontal="left" vertical="center" wrapText="1"/>
    </xf>
    <xf numFmtId="0" fontId="13" fillId="0" borderId="15" xfId="0" applyFont="1" applyBorder="1" applyAlignment="1">
      <alignment vertical="center"/>
    </xf>
    <xf numFmtId="0" fontId="20" fillId="10" borderId="15" xfId="0" applyFont="1" applyFill="1" applyBorder="1" applyAlignment="1">
      <alignment horizontal="center"/>
    </xf>
    <xf numFmtId="1" fontId="21" fillId="0" borderId="17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1" fontId="12" fillId="2" borderId="19" xfId="3" applyNumberFormat="1" applyFont="1" applyFill="1" applyBorder="1" applyAlignment="1">
      <alignment horizontal="center" vertical="center"/>
    </xf>
    <xf numFmtId="1" fontId="12" fillId="2" borderId="15" xfId="3" applyNumberFormat="1" applyFont="1" applyFill="1" applyBorder="1" applyAlignment="1">
      <alignment vertical="center"/>
    </xf>
    <xf numFmtId="0" fontId="13" fillId="0" borderId="25" xfId="0" applyFont="1" applyBorder="1" applyAlignment="1">
      <alignment horizontal="left" wrapText="1"/>
    </xf>
    <xf numFmtId="1" fontId="13" fillId="0" borderId="15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/>
    </xf>
    <xf numFmtId="9" fontId="13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24" fillId="12" borderId="14" xfId="0" applyFont="1" applyFill="1" applyBorder="1" applyAlignment="1">
      <alignment horizontal="left" vertical="center"/>
    </xf>
    <xf numFmtId="0" fontId="9" fillId="12" borderId="15" xfId="0" applyFont="1" applyFill="1" applyBorder="1" applyAlignment="1">
      <alignment horizontal="center" vertical="center"/>
    </xf>
    <xf numFmtId="0" fontId="24" fillId="12" borderId="15" xfId="0" applyFont="1" applyFill="1" applyBorder="1" applyAlignment="1">
      <alignment horizontal="center" vertical="center"/>
    </xf>
    <xf numFmtId="0" fontId="24" fillId="12" borderId="15" xfId="0" applyFont="1" applyFill="1" applyBorder="1" applyAlignment="1">
      <alignment horizontal="left" vertical="center" wrapText="1"/>
    </xf>
    <xf numFmtId="0" fontId="25" fillId="12" borderId="15" xfId="0" applyFont="1" applyFill="1" applyBorder="1" applyAlignment="1">
      <alignment horizontal="center" vertical="center"/>
    </xf>
    <xf numFmtId="1" fontId="25" fillId="12" borderId="15" xfId="0" applyNumberFormat="1" applyFont="1" applyFill="1" applyBorder="1" applyAlignment="1">
      <alignment horizontal="center" vertical="center"/>
    </xf>
    <xf numFmtId="0" fontId="24" fillId="12" borderId="15" xfId="0" applyFont="1" applyFill="1" applyBorder="1" applyAlignment="1">
      <alignment horizontal="center"/>
    </xf>
    <xf numFmtId="0" fontId="24" fillId="12" borderId="15" xfId="0" applyFont="1" applyFill="1" applyBorder="1" applyAlignment="1">
      <alignment horizontal="left"/>
    </xf>
    <xf numFmtId="1" fontId="24" fillId="12" borderId="15" xfId="0" applyNumberFormat="1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left" vertical="center"/>
    </xf>
    <xf numFmtId="0" fontId="9" fillId="13" borderId="15" xfId="0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/>
    </xf>
    <xf numFmtId="0" fontId="24" fillId="13" borderId="15" xfId="0" applyFont="1" applyFill="1" applyBorder="1" applyAlignment="1">
      <alignment horizontal="left"/>
    </xf>
    <xf numFmtId="1" fontId="24" fillId="13" borderId="15" xfId="0" applyNumberFormat="1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 vertical="center"/>
    </xf>
    <xf numFmtId="0" fontId="24" fillId="14" borderId="14" xfId="0" applyFont="1" applyFill="1" applyBorder="1" applyAlignment="1">
      <alignment horizontal="left" vertical="center"/>
    </xf>
    <xf numFmtId="0" fontId="9" fillId="14" borderId="15" xfId="0" applyFont="1" applyFill="1" applyBorder="1" applyAlignment="1">
      <alignment horizontal="center" vertical="center"/>
    </xf>
    <xf numFmtId="0" fontId="24" fillId="14" borderId="15" xfId="0" applyFont="1" applyFill="1" applyBorder="1" applyAlignment="1">
      <alignment horizontal="center"/>
    </xf>
    <xf numFmtId="0" fontId="24" fillId="14" borderId="15" xfId="0" applyFont="1" applyFill="1" applyBorder="1" applyAlignment="1">
      <alignment horizontal="left"/>
    </xf>
    <xf numFmtId="1" fontId="24" fillId="14" borderId="15" xfId="0" applyNumberFormat="1" applyFont="1" applyFill="1" applyBorder="1" applyAlignment="1">
      <alignment horizontal="center"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28" xfId="0" applyFont="1" applyFill="1" applyBorder="1" applyAlignment="1">
      <alignment horizontal="left" vertical="center"/>
    </xf>
    <xf numFmtId="0" fontId="9" fillId="14" borderId="29" xfId="0" applyFont="1" applyFill="1" applyBorder="1" applyAlignment="1">
      <alignment horizontal="center" vertical="center"/>
    </xf>
    <xf numFmtId="168" fontId="24" fillId="14" borderId="29" xfId="0" applyNumberFormat="1" applyFont="1" applyFill="1" applyBorder="1" applyAlignment="1">
      <alignment horizontal="center" vertical="center"/>
    </xf>
    <xf numFmtId="0" fontId="24" fillId="14" borderId="29" xfId="0" applyFont="1" applyFill="1" applyBorder="1" applyAlignment="1">
      <alignment horizontal="left" vertical="center" wrapText="1"/>
    </xf>
    <xf numFmtId="0" fontId="25" fillId="14" borderId="29" xfId="0" applyFont="1" applyFill="1" applyBorder="1" applyAlignment="1">
      <alignment horizontal="center" vertical="center"/>
    </xf>
    <xf numFmtId="1" fontId="25" fillId="14" borderId="29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3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169" fontId="9" fillId="15" borderId="15" xfId="0" applyNumberFormat="1" applyFont="1" applyFill="1" applyBorder="1" applyAlignment="1">
      <alignment horizontal="center" vertical="center"/>
    </xf>
    <xf numFmtId="170" fontId="9" fillId="15" borderId="15" xfId="0" applyNumberFormat="1" applyFont="1" applyFill="1" applyBorder="1" applyAlignment="1">
      <alignment horizontal="center" vertical="center"/>
    </xf>
    <xf numFmtId="44" fontId="7" fillId="15" borderId="15" xfId="1" applyFont="1" applyFill="1" applyBorder="1" applyAlignment="1" applyProtection="1">
      <alignment horizontal="center" vertical="center"/>
    </xf>
    <xf numFmtId="166" fontId="7" fillId="15" borderId="15" xfId="0" applyNumberFormat="1" applyFont="1" applyFill="1" applyBorder="1" applyAlignment="1">
      <alignment horizontal="left" vertical="center"/>
    </xf>
    <xf numFmtId="166" fontId="7" fillId="0" borderId="15" xfId="0" applyNumberFormat="1" applyFont="1" applyBorder="1" applyAlignment="1">
      <alignment horizontal="left" vertical="center"/>
    </xf>
    <xf numFmtId="169" fontId="9" fillId="15" borderId="18" xfId="0" applyNumberFormat="1" applyFont="1" applyFill="1" applyBorder="1" applyAlignment="1">
      <alignment horizontal="center" vertical="center"/>
    </xf>
    <xf numFmtId="170" fontId="9" fillId="15" borderId="18" xfId="0" applyNumberFormat="1" applyFont="1" applyFill="1" applyBorder="1" applyAlignment="1">
      <alignment horizontal="center" vertical="center"/>
    </xf>
    <xf numFmtId="44" fontId="7" fillId="15" borderId="18" xfId="1" applyFont="1" applyFill="1" applyBorder="1" applyAlignment="1" applyProtection="1">
      <alignment horizontal="center" vertical="center"/>
    </xf>
    <xf numFmtId="166" fontId="7" fillId="15" borderId="18" xfId="0" applyNumberFormat="1" applyFont="1" applyFill="1" applyBorder="1" applyAlignment="1">
      <alignment horizontal="left" vertical="center"/>
    </xf>
    <xf numFmtId="44" fontId="13" fillId="0" borderId="23" xfId="1" applyFont="1" applyFill="1" applyBorder="1" applyAlignment="1">
      <alignment horizontal="right" vertical="center"/>
    </xf>
    <xf numFmtId="169" fontId="7" fillId="0" borderId="15" xfId="0" applyNumberFormat="1" applyFont="1" applyBorder="1" applyAlignment="1">
      <alignment horizontal="center" vertical="center"/>
    </xf>
    <xf numFmtId="44" fontId="7" fillId="0" borderId="15" xfId="1" applyFont="1" applyFill="1" applyBorder="1" applyAlignment="1">
      <alignment horizontal="center" vertical="center"/>
    </xf>
    <xf numFmtId="169" fontId="7" fillId="15" borderId="15" xfId="0" applyNumberFormat="1" applyFont="1" applyFill="1" applyBorder="1" applyAlignment="1">
      <alignment horizontal="center" vertical="center"/>
    </xf>
    <xf numFmtId="1" fontId="7" fillId="15" borderId="15" xfId="0" applyNumberFormat="1" applyFont="1" applyFill="1" applyBorder="1" applyAlignment="1">
      <alignment horizontal="center" vertical="center"/>
    </xf>
    <xf numFmtId="44" fontId="7" fillId="15" borderId="15" xfId="1" applyFont="1" applyFill="1" applyBorder="1" applyAlignment="1">
      <alignment horizontal="center" vertical="center"/>
    </xf>
    <xf numFmtId="169" fontId="9" fillId="0" borderId="15" xfId="0" applyNumberFormat="1" applyFont="1" applyBorder="1" applyAlignment="1">
      <alignment horizontal="center" vertical="center"/>
    </xf>
    <xf numFmtId="170" fontId="9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69" fontId="9" fillId="0" borderId="18" xfId="0" applyNumberFormat="1" applyFont="1" applyBorder="1" applyAlignment="1">
      <alignment horizontal="center" vertical="center"/>
    </xf>
    <xf numFmtId="170" fontId="9" fillId="0" borderId="15" xfId="0" applyNumberFormat="1" applyFont="1" applyBorder="1" applyAlignment="1">
      <alignment vertical="center"/>
    </xf>
    <xf numFmtId="166" fontId="7" fillId="0" borderId="18" xfId="0" applyNumberFormat="1" applyFont="1" applyBorder="1" applyAlignment="1">
      <alignment horizontal="left" vertical="center"/>
    </xf>
    <xf numFmtId="0" fontId="20" fillId="0" borderId="23" xfId="0" applyFont="1" applyBorder="1" applyAlignment="1">
      <alignment vertical="center"/>
    </xf>
    <xf numFmtId="167" fontId="20" fillId="0" borderId="23" xfId="0" applyNumberFormat="1" applyFont="1" applyBorder="1" applyAlignment="1">
      <alignment horizontal="center" vertical="center"/>
    </xf>
    <xf numFmtId="166" fontId="20" fillId="0" borderId="23" xfId="0" applyNumberFormat="1" applyFont="1" applyBorder="1" applyAlignment="1">
      <alignment vertical="center"/>
    </xf>
    <xf numFmtId="170" fontId="23" fillId="11" borderId="21" xfId="0" applyNumberFormat="1" applyFont="1" applyFill="1" applyBorder="1" applyAlignment="1">
      <alignment horizontal="center" vertical="center" wrapText="1"/>
    </xf>
    <xf numFmtId="166" fontId="23" fillId="4" borderId="15" xfId="0" applyNumberFormat="1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 wrapText="1"/>
    </xf>
    <xf numFmtId="166" fontId="23" fillId="5" borderId="15" xfId="0" applyNumberFormat="1" applyFont="1" applyFill="1" applyBorder="1" applyAlignment="1">
      <alignment horizontal="center" vertical="center"/>
    </xf>
    <xf numFmtId="44" fontId="25" fillId="12" borderId="15" xfId="0" applyNumberFormat="1" applyFont="1" applyFill="1" applyBorder="1" applyAlignment="1">
      <alignment horizontal="left" vertical="center"/>
    </xf>
    <xf numFmtId="9" fontId="24" fillId="12" borderId="15" xfId="0" applyNumberFormat="1" applyFont="1" applyFill="1" applyBorder="1" applyAlignment="1">
      <alignment horizontal="left" vertical="center"/>
    </xf>
    <xf numFmtId="9" fontId="24" fillId="13" borderId="15" xfId="0" applyNumberFormat="1" applyFont="1" applyFill="1" applyBorder="1" applyAlignment="1">
      <alignment horizontal="left" vertical="center"/>
    </xf>
    <xf numFmtId="10" fontId="24" fillId="14" borderId="15" xfId="0" applyNumberFormat="1" applyFont="1" applyFill="1" applyBorder="1" applyAlignment="1">
      <alignment horizontal="left" vertical="center"/>
    </xf>
    <xf numFmtId="171" fontId="24" fillId="14" borderId="15" xfId="0" applyNumberFormat="1" applyFont="1" applyFill="1" applyBorder="1" applyAlignment="1">
      <alignment horizontal="left" vertical="center"/>
    </xf>
    <xf numFmtId="44" fontId="25" fillId="14" borderId="29" xfId="0" applyNumberFormat="1" applyFont="1" applyFill="1" applyBorder="1" applyAlignment="1">
      <alignment horizontal="left" vertical="center"/>
    </xf>
    <xf numFmtId="172" fontId="14" fillId="2" borderId="7" xfId="0" applyNumberFormat="1" applyFont="1" applyFill="1" applyBorder="1" applyAlignment="1">
      <alignment horizontal="center" vertical="center" wrapText="1"/>
    </xf>
    <xf numFmtId="168" fontId="16" fillId="8" borderId="31" xfId="0" applyNumberFormat="1" applyFont="1" applyFill="1" applyBorder="1" applyAlignment="1">
      <alignment horizontal="center" vertical="center" wrapText="1"/>
    </xf>
    <xf numFmtId="168" fontId="18" fillId="9" borderId="32" xfId="0" applyNumberFormat="1" applyFont="1" applyFill="1" applyBorder="1" applyAlignment="1">
      <alignment horizontal="center" vertical="center" wrapText="1"/>
    </xf>
    <xf numFmtId="44" fontId="7" fillId="0" borderId="33" xfId="0" applyNumberFormat="1" applyFont="1" applyBorder="1" applyAlignment="1">
      <alignment vertical="center" wrapText="1"/>
    </xf>
    <xf numFmtId="44" fontId="7" fillId="2" borderId="0" xfId="0" applyNumberFormat="1" applyFont="1" applyFill="1" applyAlignment="1">
      <alignment vertical="center"/>
    </xf>
    <xf numFmtId="44" fontId="7" fillId="15" borderId="33" xfId="0" applyNumberFormat="1" applyFont="1" applyFill="1" applyBorder="1" applyAlignment="1">
      <alignment vertical="center" wrapText="1"/>
    </xf>
    <xf numFmtId="167" fontId="20" fillId="16" borderId="34" xfId="0" applyNumberFormat="1" applyFont="1" applyFill="1" applyBorder="1" applyAlignment="1">
      <alignment horizontal="center" vertical="center"/>
    </xf>
    <xf numFmtId="44" fontId="7" fillId="0" borderId="0" xfId="0" applyNumberFormat="1" applyFont="1" applyAlignment="1">
      <alignment vertical="center"/>
    </xf>
    <xf numFmtId="0" fontId="13" fillId="0" borderId="35" xfId="0" applyFont="1" applyBorder="1" applyAlignment="1">
      <alignment vertical="center"/>
    </xf>
    <xf numFmtId="167" fontId="18" fillId="9" borderId="3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67" fontId="7" fillId="0" borderId="32" xfId="0" applyNumberFormat="1" applyFont="1" applyBorder="1" applyAlignment="1">
      <alignment horizontal="center" vertical="center" wrapText="1"/>
    </xf>
    <xf numFmtId="167" fontId="7" fillId="15" borderId="32" xfId="0" applyNumberFormat="1" applyFont="1" applyFill="1" applyBorder="1" applyAlignment="1">
      <alignment horizontal="center" vertical="center" wrapText="1"/>
    </xf>
    <xf numFmtId="167" fontId="7" fillId="0" borderId="31" xfId="0" applyNumberFormat="1" applyFont="1" applyBorder="1" applyAlignment="1">
      <alignment horizontal="center" vertical="center" wrapText="1"/>
    </xf>
    <xf numFmtId="167" fontId="7" fillId="0" borderId="33" xfId="0" applyNumberFormat="1" applyFont="1" applyBorder="1" applyAlignment="1">
      <alignment horizontal="center" vertical="center" wrapText="1"/>
    </xf>
    <xf numFmtId="166" fontId="7" fillId="0" borderId="3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67" fontId="27" fillId="12" borderId="32" xfId="0" applyNumberFormat="1" applyFont="1" applyFill="1" applyBorder="1" applyAlignment="1">
      <alignment horizontal="left" vertical="center"/>
    </xf>
    <xf numFmtId="0" fontId="24" fillId="0" borderId="0" xfId="0" applyFont="1"/>
    <xf numFmtId="167" fontId="27" fillId="13" borderId="32" xfId="0" applyNumberFormat="1" applyFont="1" applyFill="1" applyBorder="1" applyAlignment="1">
      <alignment horizontal="left" vertical="center"/>
    </xf>
    <xf numFmtId="167" fontId="27" fillId="14" borderId="32" xfId="0" applyNumberFormat="1" applyFont="1" applyFill="1" applyBorder="1" applyAlignment="1">
      <alignment horizontal="left" vertical="center"/>
    </xf>
    <xf numFmtId="167" fontId="27" fillId="14" borderId="36" xfId="0" applyNumberFormat="1" applyFont="1" applyFill="1" applyBorder="1" applyAlignment="1">
      <alignment horizontal="left" vertical="center"/>
    </xf>
    <xf numFmtId="0" fontId="0" fillId="2" borderId="0" xfId="0" applyFill="1"/>
    <xf numFmtId="167" fontId="0" fillId="2" borderId="0" xfId="0" applyNumberFormat="1" applyFill="1"/>
    <xf numFmtId="168" fontId="29" fillId="8" borderId="15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167" fontId="7" fillId="0" borderId="31" xfId="0" applyNumberFormat="1" applyFont="1" applyBorder="1"/>
    <xf numFmtId="0" fontId="23" fillId="0" borderId="14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167" fontId="7" fillId="0" borderId="32" xfId="0" applyNumberFormat="1" applyFont="1" applyBorder="1"/>
    <xf numFmtId="167" fontId="30" fillId="0" borderId="40" xfId="4" applyNumberFormat="1" applyFont="1" applyFill="1" applyBorder="1" applyAlignment="1">
      <alignment vertical="center"/>
    </xf>
    <xf numFmtId="44" fontId="0" fillId="2" borderId="0" xfId="0" applyNumberFormat="1" applyFill="1"/>
    <xf numFmtId="9" fontId="24" fillId="12" borderId="14" xfId="2" applyFont="1" applyFill="1" applyBorder="1" applyAlignment="1">
      <alignment horizontal="center" vertical="center"/>
    </xf>
    <xf numFmtId="173" fontId="24" fillId="12" borderId="14" xfId="0" applyNumberFormat="1" applyFont="1" applyFill="1" applyBorder="1" applyAlignment="1">
      <alignment horizontal="left" vertical="center"/>
    </xf>
    <xf numFmtId="171" fontId="24" fillId="13" borderId="14" xfId="2" applyNumberFormat="1" applyFont="1" applyFill="1" applyBorder="1" applyAlignment="1">
      <alignment horizontal="center" vertical="center"/>
    </xf>
    <xf numFmtId="173" fontId="24" fillId="13" borderId="14" xfId="0" applyNumberFormat="1" applyFont="1" applyFill="1" applyBorder="1" applyAlignment="1">
      <alignment horizontal="left" vertical="center"/>
    </xf>
    <xf numFmtId="171" fontId="24" fillId="14" borderId="14" xfId="2" applyNumberFormat="1" applyFont="1" applyFill="1" applyBorder="1" applyAlignment="1">
      <alignment horizontal="center" vertical="center"/>
    </xf>
    <xf numFmtId="173" fontId="24" fillId="14" borderId="14" xfId="0" applyNumberFormat="1" applyFont="1" applyFill="1" applyBorder="1" applyAlignment="1">
      <alignment horizontal="left" vertical="center"/>
    </xf>
    <xf numFmtId="174" fontId="0" fillId="2" borderId="9" xfId="0" applyNumberFormat="1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168" fontId="28" fillId="8" borderId="37" xfId="0" applyNumberFormat="1" applyFont="1" applyFill="1" applyBorder="1" applyAlignment="1">
      <alignment horizontal="center" vertical="center" wrapText="1"/>
    </xf>
    <xf numFmtId="168" fontId="28" fillId="8" borderId="24" xfId="0" applyNumberFormat="1" applyFont="1" applyFill="1" applyBorder="1" applyAlignment="1">
      <alignment horizontal="center" vertical="center" wrapText="1"/>
    </xf>
    <xf numFmtId="168" fontId="28" fillId="8" borderId="16" xfId="0" applyNumberFormat="1" applyFont="1" applyFill="1" applyBorder="1" applyAlignment="1">
      <alignment horizontal="center" vertical="center" wrapText="1"/>
    </xf>
    <xf numFmtId="0" fontId="24" fillId="12" borderId="38" xfId="0" applyFont="1" applyFill="1" applyBorder="1" applyAlignment="1">
      <alignment horizontal="center" vertical="center"/>
    </xf>
    <xf numFmtId="0" fontId="24" fillId="12" borderId="39" xfId="0" applyFont="1" applyFill="1" applyBorder="1" applyAlignment="1">
      <alignment horizontal="center" vertical="center"/>
    </xf>
    <xf numFmtId="0" fontId="24" fillId="12" borderId="41" xfId="0" applyFont="1" applyFill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49" fontId="31" fillId="0" borderId="40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3" fontId="11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23" fillId="11" borderId="27" xfId="0" applyFont="1" applyFill="1" applyBorder="1" applyAlignment="1">
      <alignment horizontal="center" vertical="center"/>
    </xf>
    <xf numFmtId="0" fontId="23" fillId="11" borderId="30" xfId="0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Style 1" xfId="12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Summary'!$B$4:$B$5</c:f>
              <c:strCache>
                <c:ptCount val="2"/>
                <c:pt idx="0">
                  <c:v>General Requirments</c:v>
                </c:pt>
                <c:pt idx="1">
                  <c:v>Concrete</c:v>
                </c:pt>
              </c:strCache>
            </c:strRef>
          </c:cat>
          <c:val>
            <c:numRef>
              <c:f>'General Summary'!$C$4:$C$5</c:f>
              <c:numCache>
                <c:formatCode>_("$"* #,##0_);_("$"* \(#,##0\);_("$"* "-"??_);_(@_)</c:formatCode>
                <c:ptCount val="2"/>
                <c:pt idx="0">
                  <c:v>58000</c:v>
                </c:pt>
                <c:pt idx="1">
                  <c:v>763625.25556255004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C-484F-BB21-6EEB055E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41608117-6762-4150-8034-bcf1b5f9718a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</xdr:colOff>
      <xdr:row>2</xdr:row>
      <xdr:rowOff>10886</xdr:rowOff>
    </xdr:from>
    <xdr:to>
      <xdr:col>14</xdr:col>
      <xdr:colOff>2969</xdr:colOff>
      <xdr:row>11</xdr:row>
      <xdr:rowOff>196496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8742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2020" y="0"/>
          <a:ext cx="184150" cy="287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742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4820" y="0"/>
          <a:ext cx="184150" cy="287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22"/>
  <sheetViews>
    <sheetView view="pageBreakPreview" zoomScale="85" zoomScaleNormal="100" workbookViewId="0">
      <selection activeCell="B26" sqref="B26"/>
    </sheetView>
  </sheetViews>
  <sheetFormatPr defaultColWidth="9" defaultRowHeight="13.8"/>
  <cols>
    <col min="1" max="1" width="38.3984375" style="181" customWidth="1"/>
    <col min="2" max="2" width="63.09765625" style="181" customWidth="1"/>
    <col min="3" max="3" width="17.59765625" style="182" customWidth="1"/>
    <col min="4" max="16384" width="9" style="181"/>
  </cols>
  <sheetData>
    <row r="1" spans="1:14" ht="21">
      <c r="A1" s="202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4"/>
    </row>
    <row r="2" spans="1:14" ht="21" customHeight="1">
      <c r="A2" s="205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</row>
    <row r="3" spans="1:14" ht="18">
      <c r="A3" s="183" t="s">
        <v>1</v>
      </c>
      <c r="B3" s="183" t="s">
        <v>2</v>
      </c>
      <c r="C3" s="183" t="s">
        <v>3</v>
      </c>
      <c r="N3" s="200"/>
    </row>
    <row r="4" spans="1:14" ht="15.6">
      <c r="A4" s="184">
        <v>1000</v>
      </c>
      <c r="B4" s="185" t="s">
        <v>4</v>
      </c>
      <c r="C4" s="186">
        <f>'Takeoff Breakdown'!Q15</f>
        <v>58000</v>
      </c>
      <c r="N4" s="200"/>
    </row>
    <row r="5" spans="1:14" ht="15.6">
      <c r="A5" s="187">
        <v>3000</v>
      </c>
      <c r="B5" s="188" t="s">
        <v>5</v>
      </c>
      <c r="C5" s="189">
        <f>'Takeoff Breakdown'!Q42</f>
        <v>763625.25556255004</v>
      </c>
      <c r="N5" s="200"/>
    </row>
    <row r="6" spans="1:14" ht="15.6">
      <c r="A6" s="208" t="s">
        <v>6</v>
      </c>
      <c r="B6" s="208"/>
      <c r="C6" s="190">
        <f>SUM(C4:C5)</f>
        <v>821625.25556255004</v>
      </c>
      <c r="E6" s="191"/>
      <c r="N6" s="200"/>
    </row>
    <row r="7" spans="1:14" ht="15.6">
      <c r="A7" s="209"/>
      <c r="B7" s="209"/>
      <c r="C7" s="209"/>
      <c r="N7" s="200"/>
    </row>
    <row r="8" spans="1:14" ht="15.6">
      <c r="A8" s="93" t="s">
        <v>7</v>
      </c>
      <c r="B8" s="192">
        <v>0.05</v>
      </c>
      <c r="C8" s="193">
        <f>C6*B8</f>
        <v>41081.2627781275</v>
      </c>
      <c r="D8" s="191"/>
      <c r="E8" s="191"/>
      <c r="N8" s="200"/>
    </row>
    <row r="9" spans="1:14" ht="15.6">
      <c r="A9" s="93" t="s">
        <v>8</v>
      </c>
      <c r="B9" s="192">
        <v>0.2</v>
      </c>
      <c r="C9" s="193">
        <f>C6*B9</f>
        <v>164325.05111251</v>
      </c>
      <c r="N9" s="200"/>
    </row>
    <row r="10" spans="1:14" ht="15.6">
      <c r="A10" s="102" t="s">
        <v>9</v>
      </c>
      <c r="B10" s="194">
        <v>6.6299999999999998E-2</v>
      </c>
      <c r="C10" s="195">
        <f>'Takeoff Breakdown'!Q47</f>
        <v>15044.656829007001</v>
      </c>
      <c r="N10" s="200"/>
    </row>
    <row r="11" spans="1:14" ht="15.6">
      <c r="A11" s="108" t="s">
        <v>10</v>
      </c>
      <c r="B11" s="196">
        <v>1.4999999999999999E-2</v>
      </c>
      <c r="C11" s="197">
        <f>C6*B11</f>
        <v>12324.378833438201</v>
      </c>
      <c r="N11" s="200"/>
    </row>
    <row r="12" spans="1:14" ht="15.6">
      <c r="A12" s="108" t="s">
        <v>11</v>
      </c>
      <c r="B12" s="196"/>
      <c r="C12" s="197">
        <f>SUM(C6,C8:C11)</f>
        <v>1054400.60511563</v>
      </c>
      <c r="D12" s="198"/>
      <c r="E12" s="199"/>
      <c r="F12" s="199"/>
      <c r="G12" s="199"/>
      <c r="H12" s="199"/>
      <c r="I12" s="199"/>
      <c r="J12" s="199"/>
      <c r="K12" s="199"/>
      <c r="L12" s="199"/>
      <c r="M12" s="199"/>
      <c r="N12" s="201"/>
    </row>
    <row r="22" spans="3:3">
      <c r="C22" s="181"/>
    </row>
  </sheetData>
  <mergeCells count="4">
    <mergeCell ref="A1:N1"/>
    <mergeCell ref="A2:N2"/>
    <mergeCell ref="A6:B6"/>
    <mergeCell ref="A7:C7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49"/>
  <sheetViews>
    <sheetView showGridLines="0" tabSelected="1" topLeftCell="A2" zoomScale="55" zoomScaleNormal="55" zoomScaleSheetLayoutView="85" workbookViewId="0">
      <pane ySplit="5" topLeftCell="A7" activePane="bottomLeft" state="frozen"/>
      <selection pane="bottomLeft" activeCell="D5" sqref="D5"/>
    </sheetView>
  </sheetViews>
  <sheetFormatPr defaultColWidth="9" defaultRowHeight="15.6"/>
  <cols>
    <col min="1" max="1" width="4.09765625" style="33" customWidth="1"/>
    <col min="2" max="2" width="9.19921875" style="33" customWidth="1"/>
    <col min="3" max="3" width="9.3984375" style="33" customWidth="1"/>
    <col min="4" max="4" width="81.3984375" style="33" customWidth="1"/>
    <col min="5" max="6" width="11.59765625" style="34" customWidth="1"/>
    <col min="7" max="7" width="14" style="34" customWidth="1"/>
    <col min="8" max="8" width="10.59765625" style="33" customWidth="1"/>
    <col min="9" max="10" width="14" style="34" customWidth="1"/>
    <col min="11" max="12" width="12.59765625" style="33" customWidth="1"/>
    <col min="13" max="13" width="14.3984375" style="33" customWidth="1"/>
    <col min="14" max="14" width="13.59765625" style="33" customWidth="1"/>
    <col min="15" max="15" width="14.69921875" style="33" customWidth="1"/>
    <col min="16" max="16" width="12.59765625" style="33" customWidth="1"/>
    <col min="17" max="17" width="15.19921875" style="35" customWidth="1"/>
    <col min="18" max="18" width="12.3984375" style="33" customWidth="1"/>
    <col min="19" max="16384" width="9" style="33"/>
  </cols>
  <sheetData>
    <row r="1" spans="1:18" s="29" customFormat="1" ht="15" hidden="1" customHeigh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18">
      <c r="A2" s="210" t="s">
        <v>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2"/>
    </row>
    <row r="3" spans="1:18" ht="17.399999999999999" customHeight="1">
      <c r="A3" s="38"/>
      <c r="B3" s="213" t="s">
        <v>13</v>
      </c>
      <c r="C3" s="213"/>
      <c r="E3" s="39"/>
      <c r="F3" s="39"/>
      <c r="G3" s="40"/>
      <c r="H3" s="40"/>
      <c r="I3" s="40"/>
      <c r="J3" s="40"/>
      <c r="K3" s="40"/>
      <c r="L3" s="40"/>
      <c r="M3" s="40"/>
      <c r="N3" s="40"/>
      <c r="O3" s="120"/>
      <c r="P3" s="121"/>
      <c r="Q3" s="159"/>
    </row>
    <row r="4" spans="1:18" ht="18" customHeight="1">
      <c r="A4" s="38"/>
      <c r="B4" s="214" t="s">
        <v>14</v>
      </c>
      <c r="C4" s="214"/>
      <c r="E4" s="41"/>
      <c r="F4" s="41"/>
      <c r="G4" s="41"/>
      <c r="H4" s="42"/>
      <c r="I4" s="41"/>
      <c r="J4" s="41"/>
      <c r="K4" s="40"/>
      <c r="L4" s="40"/>
      <c r="M4" s="40"/>
      <c r="N4" s="40"/>
      <c r="O4" s="120"/>
      <c r="P4" s="121"/>
      <c r="Q4" s="159"/>
    </row>
    <row r="5" spans="1:18" ht="24" customHeight="1">
      <c r="A5" s="38"/>
      <c r="B5" s="215" t="s">
        <v>15</v>
      </c>
      <c r="C5" s="215"/>
      <c r="D5" s="33" t="s">
        <v>16</v>
      </c>
      <c r="E5" s="43"/>
      <c r="F5" s="41"/>
      <c r="G5" s="41"/>
      <c r="H5" s="43"/>
      <c r="I5" s="41"/>
      <c r="J5" s="41"/>
      <c r="K5" s="122"/>
      <c r="L5" s="122"/>
      <c r="M5" s="122"/>
      <c r="N5" s="122"/>
      <c r="O5" s="123"/>
      <c r="P5" s="124"/>
      <c r="Q5" s="159"/>
    </row>
    <row r="6" spans="1:18" s="29" customFormat="1" ht="59.4" customHeight="1">
      <c r="A6" s="44" t="s">
        <v>17</v>
      </c>
      <c r="B6" s="45" t="s">
        <v>18</v>
      </c>
      <c r="C6" s="45" t="s">
        <v>19</v>
      </c>
      <c r="D6" s="46" t="s">
        <v>2</v>
      </c>
      <c r="E6" s="45" t="s">
        <v>20</v>
      </c>
      <c r="F6" s="45" t="s">
        <v>21</v>
      </c>
      <c r="G6" s="45" t="s">
        <v>22</v>
      </c>
      <c r="H6" s="45" t="s">
        <v>23</v>
      </c>
      <c r="I6" s="45" t="s">
        <v>24</v>
      </c>
      <c r="J6" s="45" t="s">
        <v>25</v>
      </c>
      <c r="K6" s="45" t="s">
        <v>26</v>
      </c>
      <c r="L6" s="45" t="s">
        <v>27</v>
      </c>
      <c r="M6" s="45" t="s">
        <v>28</v>
      </c>
      <c r="N6" s="45" t="s">
        <v>29</v>
      </c>
      <c r="O6" s="45" t="s">
        <v>30</v>
      </c>
      <c r="P6" s="45" t="s">
        <v>31</v>
      </c>
      <c r="Q6" s="160" t="s">
        <v>32</v>
      </c>
    </row>
    <row r="7" spans="1:18" s="30" customFormat="1" ht="18" customHeight="1">
      <c r="A7" s="47"/>
      <c r="B7" s="48"/>
      <c r="C7" s="49">
        <v>1</v>
      </c>
      <c r="D7" s="50" t="s">
        <v>33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161"/>
    </row>
    <row r="8" spans="1:18" ht="18" customHeight="1">
      <c r="A8" s="51">
        <f>IF(F8&lt;&gt;"",1+MAX($A$2:A7),"")</f>
        <v>1</v>
      </c>
      <c r="B8" s="52"/>
      <c r="C8" s="52"/>
      <c r="D8" s="53" t="s">
        <v>34</v>
      </c>
      <c r="E8" s="54">
        <v>1</v>
      </c>
      <c r="F8" s="55">
        <v>0</v>
      </c>
      <c r="G8" s="56">
        <f t="shared" ref="G8:G14" si="0">(F8*E8)+E8</f>
        <v>1</v>
      </c>
      <c r="H8" s="54" t="s">
        <v>35</v>
      </c>
      <c r="I8" s="125">
        <v>0</v>
      </c>
      <c r="J8" s="126">
        <f t="shared" ref="J8:J14" si="1">+I8*G8</f>
        <v>0</v>
      </c>
      <c r="K8" s="127">
        <v>0</v>
      </c>
      <c r="L8" s="128">
        <f t="shared" ref="L8:L14" si="2">I8*K8</f>
        <v>0</v>
      </c>
      <c r="M8" s="128">
        <f t="shared" ref="M8:M14" si="3">K8*J8</f>
        <v>0</v>
      </c>
      <c r="N8" s="128">
        <v>0</v>
      </c>
      <c r="O8" s="128">
        <f t="shared" ref="O8:O14" si="4">N8*G8</f>
        <v>0</v>
      </c>
      <c r="P8" s="129">
        <v>3800</v>
      </c>
      <c r="Q8" s="162">
        <f t="shared" ref="Q8:Q14" si="5">P8*G8</f>
        <v>3800</v>
      </c>
      <c r="R8" s="163"/>
    </row>
    <row r="9" spans="1:18" ht="18" customHeight="1">
      <c r="A9" s="57">
        <f>IF(F9&lt;&gt;"",1+MAX($A$2:A8),"")</f>
        <v>2</v>
      </c>
      <c r="B9" s="58"/>
      <c r="C9" s="58"/>
      <c r="D9" s="59" t="s">
        <v>36</v>
      </c>
      <c r="E9" s="60">
        <v>1</v>
      </c>
      <c r="F9" s="61">
        <v>0</v>
      </c>
      <c r="G9" s="62">
        <f t="shared" si="0"/>
        <v>1</v>
      </c>
      <c r="H9" s="60" t="s">
        <v>35</v>
      </c>
      <c r="I9" s="125">
        <v>0</v>
      </c>
      <c r="J9" s="126">
        <f t="shared" si="1"/>
        <v>0</v>
      </c>
      <c r="K9" s="127">
        <v>0</v>
      </c>
      <c r="L9" s="128">
        <f t="shared" si="2"/>
        <v>0</v>
      </c>
      <c r="M9" s="128">
        <f t="shared" si="3"/>
        <v>0</v>
      </c>
      <c r="N9" s="128">
        <v>0</v>
      </c>
      <c r="O9" s="128">
        <f t="shared" si="4"/>
        <v>0</v>
      </c>
      <c r="P9" s="129">
        <v>16000</v>
      </c>
      <c r="Q9" s="162">
        <f t="shared" si="5"/>
        <v>16000</v>
      </c>
      <c r="R9" s="163"/>
    </row>
    <row r="10" spans="1:18" ht="18" customHeight="1">
      <c r="A10" s="57">
        <f>IF(F10&lt;&gt;"",1+MAX($A$2:A9),"")</f>
        <v>3</v>
      </c>
      <c r="B10" s="58"/>
      <c r="C10" s="58"/>
      <c r="D10" s="59" t="s">
        <v>37</v>
      </c>
      <c r="E10" s="60">
        <v>1</v>
      </c>
      <c r="F10" s="61">
        <v>0</v>
      </c>
      <c r="G10" s="62">
        <f t="shared" si="0"/>
        <v>1</v>
      </c>
      <c r="H10" s="60" t="s">
        <v>35</v>
      </c>
      <c r="I10" s="125">
        <v>0</v>
      </c>
      <c r="J10" s="126">
        <f t="shared" si="1"/>
        <v>0</v>
      </c>
      <c r="K10" s="127">
        <v>0</v>
      </c>
      <c r="L10" s="128">
        <f t="shared" si="2"/>
        <v>0</v>
      </c>
      <c r="M10" s="128">
        <f t="shared" si="3"/>
        <v>0</v>
      </c>
      <c r="N10" s="128">
        <v>0</v>
      </c>
      <c r="O10" s="128">
        <f t="shared" si="4"/>
        <v>0</v>
      </c>
      <c r="P10" s="128">
        <v>0</v>
      </c>
      <c r="Q10" s="164">
        <f t="shared" si="5"/>
        <v>0</v>
      </c>
      <c r="R10" s="163"/>
    </row>
    <row r="11" spans="1:18" ht="18" customHeight="1">
      <c r="A11" s="57">
        <f>IF(F11&lt;&gt;"",1+MAX($A$2:A10),"")</f>
        <v>4</v>
      </c>
      <c r="B11" s="58"/>
      <c r="C11" s="58"/>
      <c r="D11" s="59" t="s">
        <v>38</v>
      </c>
      <c r="E11" s="60">
        <v>1</v>
      </c>
      <c r="F11" s="61">
        <v>0</v>
      </c>
      <c r="G11" s="62">
        <f t="shared" si="0"/>
        <v>1</v>
      </c>
      <c r="H11" s="60" t="s">
        <v>35</v>
      </c>
      <c r="I11" s="125">
        <v>0</v>
      </c>
      <c r="J11" s="126">
        <f t="shared" si="1"/>
        <v>0</v>
      </c>
      <c r="K11" s="127">
        <v>0</v>
      </c>
      <c r="L11" s="128">
        <f t="shared" si="2"/>
        <v>0</v>
      </c>
      <c r="M11" s="128">
        <f t="shared" si="3"/>
        <v>0</v>
      </c>
      <c r="N11" s="128">
        <v>0</v>
      </c>
      <c r="O11" s="128">
        <f t="shared" si="4"/>
        <v>0</v>
      </c>
      <c r="P11" s="129">
        <v>6500</v>
      </c>
      <c r="Q11" s="162">
        <f t="shared" si="5"/>
        <v>6500</v>
      </c>
      <c r="R11" s="163"/>
    </row>
    <row r="12" spans="1:18" ht="18" customHeight="1">
      <c r="A12" s="57">
        <f>IF(F12&lt;&gt;"",1+MAX($A$2:A11),"")</f>
        <v>5</v>
      </c>
      <c r="B12" s="58"/>
      <c r="C12" s="58"/>
      <c r="D12" s="59" t="s">
        <v>39</v>
      </c>
      <c r="E12" s="60">
        <v>1</v>
      </c>
      <c r="F12" s="61">
        <v>0</v>
      </c>
      <c r="G12" s="62">
        <f t="shared" si="0"/>
        <v>1</v>
      </c>
      <c r="H12" s="60" t="s">
        <v>35</v>
      </c>
      <c r="I12" s="125">
        <v>0</v>
      </c>
      <c r="J12" s="126">
        <f t="shared" si="1"/>
        <v>0</v>
      </c>
      <c r="K12" s="127">
        <v>0</v>
      </c>
      <c r="L12" s="128">
        <f t="shared" si="2"/>
        <v>0</v>
      </c>
      <c r="M12" s="128">
        <f t="shared" si="3"/>
        <v>0</v>
      </c>
      <c r="N12" s="128">
        <v>0</v>
      </c>
      <c r="O12" s="128">
        <f t="shared" si="4"/>
        <v>0</v>
      </c>
      <c r="P12" s="129">
        <v>24500</v>
      </c>
      <c r="Q12" s="162">
        <f t="shared" si="5"/>
        <v>24500</v>
      </c>
      <c r="R12" s="163"/>
    </row>
    <row r="13" spans="1:18" ht="18" customHeight="1">
      <c r="A13" s="57">
        <f>IF(F13&lt;&gt;"",1+MAX($A$2:A12),"")</f>
        <v>6</v>
      </c>
      <c r="B13" s="58"/>
      <c r="C13" s="58"/>
      <c r="D13" s="59" t="s">
        <v>40</v>
      </c>
      <c r="E13" s="60">
        <v>1</v>
      </c>
      <c r="F13" s="61">
        <v>0</v>
      </c>
      <c r="G13" s="62">
        <f t="shared" si="0"/>
        <v>1</v>
      </c>
      <c r="H13" s="60" t="s">
        <v>35</v>
      </c>
      <c r="I13" s="125">
        <v>0</v>
      </c>
      <c r="J13" s="126">
        <f t="shared" si="1"/>
        <v>0</v>
      </c>
      <c r="K13" s="127">
        <v>0</v>
      </c>
      <c r="L13" s="128">
        <f t="shared" si="2"/>
        <v>0</v>
      </c>
      <c r="M13" s="128">
        <f t="shared" si="3"/>
        <v>0</v>
      </c>
      <c r="N13" s="128">
        <v>0</v>
      </c>
      <c r="O13" s="128">
        <f t="shared" si="4"/>
        <v>0</v>
      </c>
      <c r="P13" s="128">
        <v>0</v>
      </c>
      <c r="Q13" s="164">
        <f t="shared" si="5"/>
        <v>0</v>
      </c>
      <c r="R13" s="163"/>
    </row>
    <row r="14" spans="1:18" ht="18" customHeight="1">
      <c r="A14" s="57">
        <f>IF(F14&lt;&gt;"",1+MAX($A$2:A13),"")</f>
        <v>7</v>
      </c>
      <c r="B14" s="58"/>
      <c r="C14" s="58"/>
      <c r="D14" s="63" t="s">
        <v>41</v>
      </c>
      <c r="E14" s="64">
        <v>1</v>
      </c>
      <c r="F14" s="65">
        <v>0</v>
      </c>
      <c r="G14" s="66">
        <f t="shared" si="0"/>
        <v>1</v>
      </c>
      <c r="H14" s="64" t="s">
        <v>35</v>
      </c>
      <c r="I14" s="130">
        <v>0</v>
      </c>
      <c r="J14" s="131">
        <f t="shared" si="1"/>
        <v>0</v>
      </c>
      <c r="K14" s="132">
        <v>0</v>
      </c>
      <c r="L14" s="133">
        <f t="shared" si="2"/>
        <v>0</v>
      </c>
      <c r="M14" s="133">
        <f t="shared" si="3"/>
        <v>0</v>
      </c>
      <c r="N14" s="133">
        <v>0</v>
      </c>
      <c r="O14" s="133">
        <f t="shared" si="4"/>
        <v>0</v>
      </c>
      <c r="P14" s="129">
        <v>7200</v>
      </c>
      <c r="Q14" s="162">
        <f t="shared" si="5"/>
        <v>7200</v>
      </c>
      <c r="R14" s="163"/>
    </row>
    <row r="15" spans="1:18" s="29" customFormat="1">
      <c r="A15" s="67" t="str">
        <f>IF(F15&lt;&gt;"",1+MAX($A$2:A14),"")</f>
        <v/>
      </c>
      <c r="B15" s="68"/>
      <c r="C15" s="69"/>
      <c r="D15" s="70" t="s">
        <v>42</v>
      </c>
      <c r="E15" s="71"/>
      <c r="F15" s="71"/>
      <c r="G15" s="71"/>
      <c r="H15" s="71"/>
      <c r="I15" s="71"/>
      <c r="J15" s="71"/>
      <c r="K15" s="134"/>
      <c r="L15" s="134"/>
      <c r="M15" s="134"/>
      <c r="N15" s="134"/>
      <c r="O15" s="134"/>
      <c r="P15" s="134"/>
      <c r="Q15" s="165">
        <f>SUM(Q8:Q14)</f>
        <v>58000</v>
      </c>
      <c r="R15" s="166"/>
    </row>
    <row r="16" spans="1:18" s="29" customFormat="1">
      <c r="A16" s="67" t="str">
        <f>IF(F16&lt;&gt;"",1+MAX($A$2:A15),"")</f>
        <v/>
      </c>
      <c r="B16" s="68"/>
      <c r="C16" s="68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167"/>
      <c r="R16" s="166"/>
    </row>
    <row r="17" spans="1:19" s="31" customFormat="1">
      <c r="A17" s="47" t="str">
        <f>IF(F17&lt;&gt;"",1+MAX($A$2:A16),"")</f>
        <v/>
      </c>
      <c r="B17" s="48"/>
      <c r="C17" s="49">
        <v>3</v>
      </c>
      <c r="D17" s="73" t="s">
        <v>43</v>
      </c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168"/>
      <c r="S17" s="169"/>
    </row>
    <row r="18" spans="1:19" ht="18" customHeight="1">
      <c r="A18" s="67" t="str">
        <f>IF(F18&lt;&gt;"",1+MAX($A$2:A17),"")</f>
        <v/>
      </c>
      <c r="B18" s="74"/>
      <c r="C18" s="69"/>
      <c r="D18" s="75" t="s">
        <v>44</v>
      </c>
      <c r="E18" s="76"/>
      <c r="F18" s="77"/>
      <c r="G18" s="62"/>
      <c r="H18" s="62"/>
      <c r="I18" s="135"/>
      <c r="J18" s="62"/>
      <c r="K18" s="136"/>
      <c r="L18" s="136"/>
      <c r="M18" s="136"/>
      <c r="N18" s="136"/>
      <c r="O18" s="136"/>
      <c r="P18" s="136"/>
      <c r="Q18" s="170"/>
      <c r="R18" s="163"/>
      <c r="S18" s="163"/>
    </row>
    <row r="19" spans="1:19" ht="18" customHeight="1">
      <c r="A19" s="78" t="str">
        <f>IF(F19&lt;&gt;"",1+MAX($A$2:A18),"")</f>
        <v/>
      </c>
      <c r="B19" s="79"/>
      <c r="C19" s="58"/>
      <c r="D19" s="80" t="s">
        <v>45</v>
      </c>
      <c r="E19" s="81">
        <f>528.04+23381.45</f>
        <v>23909.49</v>
      </c>
      <c r="F19" s="61"/>
      <c r="G19" s="62"/>
      <c r="H19" s="82" t="s">
        <v>46</v>
      </c>
      <c r="I19" s="137"/>
      <c r="J19" s="138"/>
      <c r="K19" s="139"/>
      <c r="L19" s="139"/>
      <c r="M19" s="139"/>
      <c r="N19" s="139"/>
      <c r="O19" s="139"/>
      <c r="P19" s="139"/>
      <c r="Q19" s="171"/>
      <c r="R19" s="163"/>
      <c r="S19" s="163"/>
    </row>
    <row r="20" spans="1:19">
      <c r="A20" s="78">
        <f>IF(F20&lt;&gt;"",1+MAX($A$2:A19),"")</f>
        <v>8</v>
      </c>
      <c r="B20" s="79"/>
      <c r="C20" s="83"/>
      <c r="D20" s="84" t="s">
        <v>47</v>
      </c>
      <c r="E20" s="62">
        <f>544.7+17145.91</f>
        <v>17690.61</v>
      </c>
      <c r="F20" s="61">
        <v>0.05</v>
      </c>
      <c r="G20" s="62">
        <f t="shared" ref="G20" si="6">(F20*E20)+E20</f>
        <v>18575.140500000001</v>
      </c>
      <c r="H20" s="60" t="s">
        <v>48</v>
      </c>
      <c r="I20" s="140">
        <v>2.4E-2</v>
      </c>
      <c r="J20" s="141">
        <f t="shared" ref="J20" si="7">+I20*G20</f>
        <v>445.80337200000002</v>
      </c>
      <c r="K20" s="142">
        <v>132.04349999999999</v>
      </c>
      <c r="L20" s="129">
        <f t="shared" ref="L20" si="8">I20*K20</f>
        <v>3.169044</v>
      </c>
      <c r="M20" s="129">
        <f t="shared" ref="M20" si="9">K20*J20</f>
        <v>58865.437550682</v>
      </c>
      <c r="N20" s="128">
        <v>0</v>
      </c>
      <c r="O20" s="128">
        <f t="shared" ref="O20" si="10">N20*G20</f>
        <v>0</v>
      </c>
      <c r="P20" s="129">
        <f t="shared" ref="P20" si="11">(I20*K20)+N20</f>
        <v>3.169044</v>
      </c>
      <c r="Q20" s="172">
        <f t="shared" ref="Q20" si="12">P20*G20</f>
        <v>58865.437550682</v>
      </c>
      <c r="R20" s="163"/>
      <c r="S20" s="163"/>
    </row>
    <row r="21" spans="1:19">
      <c r="A21" s="78">
        <f>IF(F21&lt;&gt;"",1+MAX($A$2:A20),"")</f>
        <v>9</v>
      </c>
      <c r="B21" s="79"/>
      <c r="C21" s="83"/>
      <c r="D21" s="84" t="s">
        <v>49</v>
      </c>
      <c r="E21" s="62">
        <f>+E19</f>
        <v>23909.49</v>
      </c>
      <c r="F21" s="61">
        <v>0.1</v>
      </c>
      <c r="G21" s="62">
        <f t="shared" ref="G21:G38" si="13">(F21*E21)+E21</f>
        <v>26300.438999999998</v>
      </c>
      <c r="H21" s="60" t="s">
        <v>46</v>
      </c>
      <c r="I21" s="140">
        <v>5.8000000000000003E-2</v>
      </c>
      <c r="J21" s="141">
        <f t="shared" ref="J21:J25" si="14">+I21*G21</f>
        <v>1525.4254619999999</v>
      </c>
      <c r="K21" s="142">
        <v>63.787500000000001</v>
      </c>
      <c r="L21" s="129">
        <f t="shared" ref="L21:L25" si="15">I21*K21</f>
        <v>3.699675</v>
      </c>
      <c r="M21" s="129">
        <f t="shared" ref="M21:M25" si="16">K21*J21</f>
        <v>97303.076657325</v>
      </c>
      <c r="N21" s="128">
        <v>0</v>
      </c>
      <c r="O21" s="128">
        <f t="shared" ref="O21:O25" si="17">N21*G21</f>
        <v>0</v>
      </c>
      <c r="P21" s="129">
        <f t="shared" ref="P21:P25" si="18">(I21*K21)+N21</f>
        <v>3.699675</v>
      </c>
      <c r="Q21" s="172">
        <f t="shared" ref="Q21:Q25" si="19">P21*G21</f>
        <v>97303.076657325</v>
      </c>
      <c r="R21" s="163"/>
      <c r="S21" s="163"/>
    </row>
    <row r="22" spans="1:19">
      <c r="A22" s="78">
        <f>IF(F22&lt;&gt;"",1+MAX($A$2:A21),"")</f>
        <v>10</v>
      </c>
      <c r="B22" s="79"/>
      <c r="C22" s="83"/>
      <c r="D22" s="84" t="s">
        <v>50</v>
      </c>
      <c r="E22" s="62">
        <f>+E19*0.33/27</f>
        <v>292.22710000000001</v>
      </c>
      <c r="F22" s="61">
        <v>0.1</v>
      </c>
      <c r="G22" s="62">
        <f t="shared" si="13"/>
        <v>321.44981000000001</v>
      </c>
      <c r="H22" s="60" t="s">
        <v>51</v>
      </c>
      <c r="I22" s="140">
        <v>5.92</v>
      </c>
      <c r="J22" s="141">
        <f t="shared" si="14"/>
        <v>1902.9828752000001</v>
      </c>
      <c r="K22" s="142">
        <v>70.861500000000007</v>
      </c>
      <c r="L22" s="129">
        <f t="shared" si="15"/>
        <v>419.50008000000003</v>
      </c>
      <c r="M22" s="129">
        <f t="shared" si="16"/>
        <v>134848.221010985</v>
      </c>
      <c r="N22" s="129">
        <v>260</v>
      </c>
      <c r="O22" s="129">
        <f t="shared" si="17"/>
        <v>83576.950599999996</v>
      </c>
      <c r="P22" s="129">
        <f t="shared" si="18"/>
        <v>679.50008000000003</v>
      </c>
      <c r="Q22" s="172">
        <f t="shared" si="19"/>
        <v>218425.17161098501</v>
      </c>
      <c r="R22" s="163"/>
      <c r="S22" s="163"/>
    </row>
    <row r="23" spans="1:19">
      <c r="A23" s="78">
        <f>IF(F23&lt;&gt;"",1+MAX($A$2:A22),"")</f>
        <v>11</v>
      </c>
      <c r="B23" s="79"/>
      <c r="C23" s="83"/>
      <c r="D23" s="84" t="s">
        <v>52</v>
      </c>
      <c r="E23" s="62">
        <f>+E19</f>
        <v>23909.49</v>
      </c>
      <c r="F23" s="61">
        <v>0.1</v>
      </c>
      <c r="G23" s="62">
        <f t="shared" si="13"/>
        <v>26300.438999999998</v>
      </c>
      <c r="H23" s="60" t="s">
        <v>46</v>
      </c>
      <c r="I23" s="140">
        <v>6.0000000000000001E-3</v>
      </c>
      <c r="J23" s="141">
        <f t="shared" si="14"/>
        <v>157.80263400000001</v>
      </c>
      <c r="K23" s="142">
        <v>87.075000000000003</v>
      </c>
      <c r="L23" s="129">
        <f t="shared" si="15"/>
        <v>0.52244999999999997</v>
      </c>
      <c r="M23" s="129">
        <f t="shared" si="16"/>
        <v>13740.66435555</v>
      </c>
      <c r="N23" s="129">
        <v>0.48</v>
      </c>
      <c r="O23" s="129">
        <f t="shared" si="17"/>
        <v>12624.210719999999</v>
      </c>
      <c r="P23" s="129">
        <f t="shared" si="18"/>
        <v>1.0024500000000001</v>
      </c>
      <c r="Q23" s="172">
        <f t="shared" si="19"/>
        <v>26364.87507555</v>
      </c>
      <c r="R23" s="163"/>
      <c r="S23" s="163"/>
    </row>
    <row r="24" spans="1:19" ht="18" customHeight="1">
      <c r="A24" s="78">
        <f>IF(F24&lt;&gt;"",1+MAX($A$2:A23),"")</f>
        <v>12</v>
      </c>
      <c r="B24" s="79"/>
      <c r="C24" s="58"/>
      <c r="D24" s="84" t="s">
        <v>53</v>
      </c>
      <c r="E24" s="62">
        <f>+E20</f>
        <v>17690.61</v>
      </c>
      <c r="F24" s="61">
        <v>0.05</v>
      </c>
      <c r="G24" s="62">
        <f t="shared" si="13"/>
        <v>18575.140500000001</v>
      </c>
      <c r="H24" s="60" t="s">
        <v>48</v>
      </c>
      <c r="I24" s="140">
        <v>0.04</v>
      </c>
      <c r="J24" s="141">
        <f t="shared" si="14"/>
        <v>743.00562000000002</v>
      </c>
      <c r="K24" s="142">
        <v>79.11</v>
      </c>
      <c r="L24" s="129">
        <f t="shared" si="15"/>
        <v>3.1644000000000001</v>
      </c>
      <c r="M24" s="129">
        <f t="shared" si="16"/>
        <v>58779.174598199999</v>
      </c>
      <c r="N24" s="129">
        <v>1.28</v>
      </c>
      <c r="O24" s="129">
        <f t="shared" si="17"/>
        <v>23776.179840000001</v>
      </c>
      <c r="P24" s="129">
        <f t="shared" si="18"/>
        <v>4.4443999999999999</v>
      </c>
      <c r="Q24" s="172">
        <f t="shared" si="19"/>
        <v>82555.354438199996</v>
      </c>
      <c r="R24" s="163"/>
      <c r="S24" s="163"/>
    </row>
    <row r="25" spans="1:19">
      <c r="A25" s="78">
        <f>IF(F25&lt;&gt;"",1+MAX($A$2:A24),"")</f>
        <v>13</v>
      </c>
      <c r="B25" s="79"/>
      <c r="C25" s="83"/>
      <c r="D25" s="84" t="s">
        <v>54</v>
      </c>
      <c r="E25" s="62">
        <f>+ROUNDUP(E24/1.5,0)*2*0.668</f>
        <v>15756.784</v>
      </c>
      <c r="F25" s="61">
        <v>0.05</v>
      </c>
      <c r="G25" s="62">
        <f t="shared" si="13"/>
        <v>16544.623200000002</v>
      </c>
      <c r="H25" s="60" t="s">
        <v>55</v>
      </c>
      <c r="I25" s="140">
        <v>0.01</v>
      </c>
      <c r="J25" s="141">
        <f t="shared" si="14"/>
        <v>165.44623200000001</v>
      </c>
      <c r="K25" s="142">
        <v>87.142499999999998</v>
      </c>
      <c r="L25" s="129">
        <f t="shared" si="15"/>
        <v>0.87142500000000001</v>
      </c>
      <c r="M25" s="129">
        <f t="shared" si="16"/>
        <v>14417.39827206</v>
      </c>
      <c r="N25" s="129">
        <v>0.75</v>
      </c>
      <c r="O25" s="129">
        <f t="shared" si="17"/>
        <v>12408.4674</v>
      </c>
      <c r="P25" s="129">
        <f t="shared" si="18"/>
        <v>1.6214249999999999</v>
      </c>
      <c r="Q25" s="172">
        <f t="shared" si="19"/>
        <v>26825.865672060001</v>
      </c>
      <c r="R25" s="163"/>
      <c r="S25" s="163"/>
    </row>
    <row r="26" spans="1:19">
      <c r="A26" s="78" t="str">
        <f>IF(F26&lt;&gt;"",1+MAX($A$2:A25),"")</f>
        <v/>
      </c>
      <c r="B26" s="79"/>
      <c r="C26" s="83"/>
      <c r="D26" s="53"/>
      <c r="E26" s="62"/>
      <c r="F26" s="61"/>
      <c r="G26" s="62"/>
      <c r="H26" s="60"/>
      <c r="I26" s="140"/>
      <c r="J26" s="141"/>
      <c r="K26" s="142"/>
      <c r="L26" s="129"/>
      <c r="M26" s="129"/>
      <c r="N26" s="129"/>
      <c r="O26" s="129"/>
      <c r="P26" s="129"/>
      <c r="Q26" s="172"/>
      <c r="R26" s="163"/>
      <c r="S26" s="163"/>
    </row>
    <row r="27" spans="1:19" ht="18" customHeight="1">
      <c r="A27" s="78" t="str">
        <f>IF(F27&lt;&gt;"",1+MAX($A$2:A26),"")</f>
        <v/>
      </c>
      <c r="B27" s="79"/>
      <c r="C27" s="58"/>
      <c r="D27" s="80" t="s">
        <v>56</v>
      </c>
      <c r="E27" s="81">
        <v>840</v>
      </c>
      <c r="F27" s="61"/>
      <c r="G27" s="62"/>
      <c r="H27" s="82" t="s">
        <v>46</v>
      </c>
      <c r="I27" s="137"/>
      <c r="J27" s="138"/>
      <c r="K27" s="139"/>
      <c r="L27" s="139"/>
      <c r="M27" s="139"/>
      <c r="N27" s="139"/>
      <c r="O27" s="139"/>
      <c r="P27" s="139"/>
      <c r="Q27" s="171"/>
      <c r="R27" s="163"/>
      <c r="S27" s="163"/>
    </row>
    <row r="28" spans="1:19">
      <c r="A28" s="78">
        <f>IF(F28&lt;&gt;"",1+MAX($A$2:A27),"")</f>
        <v>14</v>
      </c>
      <c r="B28" s="79"/>
      <c r="C28" s="83"/>
      <c r="D28" s="84" t="s">
        <v>57</v>
      </c>
      <c r="E28" s="62">
        <f>+E27-E29*0.5</f>
        <v>501.5</v>
      </c>
      <c r="F28" s="61">
        <v>0.1</v>
      </c>
      <c r="G28" s="62">
        <f t="shared" si="13"/>
        <v>551.65</v>
      </c>
      <c r="H28" s="60" t="s">
        <v>46</v>
      </c>
      <c r="I28" s="140">
        <v>3.2000000000000001E-2</v>
      </c>
      <c r="J28" s="141">
        <f t="shared" ref="J28:J29" si="20">+I28*G28</f>
        <v>17.652799999999999</v>
      </c>
      <c r="K28" s="142">
        <v>70.308000000000007</v>
      </c>
      <c r="L28" s="129">
        <f t="shared" ref="L28:L29" si="21">I28*K28</f>
        <v>2.2498559999999999</v>
      </c>
      <c r="M28" s="129">
        <f t="shared" ref="M28:M29" si="22">K28*J28</f>
        <v>1241.1330624</v>
      </c>
      <c r="N28" s="129">
        <v>2.42</v>
      </c>
      <c r="O28" s="129">
        <f t="shared" ref="O28:O29" si="23">N28*G28</f>
        <v>1334.9929999999999</v>
      </c>
      <c r="P28" s="129">
        <f t="shared" ref="P28:P29" si="24">(I28*K28)+N28</f>
        <v>4.6698560000000002</v>
      </c>
      <c r="Q28" s="172">
        <f t="shared" ref="Q28:Q29" si="25">P28*G28</f>
        <v>2576.1260624000001</v>
      </c>
      <c r="R28" s="163"/>
      <c r="S28" s="163"/>
    </row>
    <row r="29" spans="1:19" ht="31.2">
      <c r="A29" s="78">
        <f>IF(F29&lt;&gt;"",1+MAX($A$2:A28),"")</f>
        <v>15</v>
      </c>
      <c r="B29" s="79"/>
      <c r="C29" s="83"/>
      <c r="D29" s="85" t="s">
        <v>58</v>
      </c>
      <c r="E29" s="62">
        <v>677</v>
      </c>
      <c r="F29" s="61">
        <v>0.05</v>
      </c>
      <c r="G29" s="62">
        <f t="shared" si="13"/>
        <v>710.85</v>
      </c>
      <c r="H29" s="60" t="s">
        <v>48</v>
      </c>
      <c r="I29" s="140">
        <v>0.06</v>
      </c>
      <c r="J29" s="141">
        <f t="shared" si="20"/>
        <v>42.651000000000003</v>
      </c>
      <c r="K29" s="142">
        <v>70.861500000000007</v>
      </c>
      <c r="L29" s="129">
        <f t="shared" si="21"/>
        <v>4.25169</v>
      </c>
      <c r="M29" s="129">
        <f t="shared" si="22"/>
        <v>3022.3138365</v>
      </c>
      <c r="N29" s="129">
        <v>1.845</v>
      </c>
      <c r="O29" s="129">
        <f t="shared" si="23"/>
        <v>1311.5182500000001</v>
      </c>
      <c r="P29" s="129">
        <f t="shared" si="24"/>
        <v>6.0966899999999997</v>
      </c>
      <c r="Q29" s="172">
        <f t="shared" si="25"/>
        <v>4333.8320864999996</v>
      </c>
      <c r="R29" s="163"/>
      <c r="S29" s="163"/>
    </row>
    <row r="30" spans="1:19">
      <c r="A30" s="78" t="str">
        <f>IF(F30&lt;&gt;"",1+MAX($A$2:A29),"")</f>
        <v/>
      </c>
      <c r="B30" s="79"/>
      <c r="C30" s="83"/>
      <c r="D30" s="53"/>
      <c r="E30" s="62"/>
      <c r="F30" s="61"/>
      <c r="G30" s="62"/>
      <c r="H30" s="60"/>
      <c r="I30" s="140"/>
      <c r="J30" s="141"/>
      <c r="K30" s="142"/>
      <c r="L30" s="129"/>
      <c r="M30" s="129"/>
      <c r="N30" s="129"/>
      <c r="O30" s="129"/>
      <c r="P30" s="129"/>
      <c r="Q30" s="172"/>
      <c r="R30" s="163"/>
      <c r="S30" s="163"/>
    </row>
    <row r="31" spans="1:19" ht="18" customHeight="1">
      <c r="A31" s="78" t="str">
        <f>IF(F31&lt;&gt;"",1+MAX($A$2:A30),"")</f>
        <v/>
      </c>
      <c r="B31" s="79"/>
      <c r="C31" s="58"/>
      <c r="D31" s="80" t="s">
        <v>59</v>
      </c>
      <c r="E31" s="81">
        <v>155.16999999999999</v>
      </c>
      <c r="F31" s="61"/>
      <c r="G31" s="62"/>
      <c r="H31" s="82" t="s">
        <v>46</v>
      </c>
      <c r="I31" s="137"/>
      <c r="J31" s="138"/>
      <c r="K31" s="139"/>
      <c r="L31" s="139"/>
      <c r="M31" s="139"/>
      <c r="N31" s="139"/>
      <c r="O31" s="139"/>
      <c r="P31" s="139"/>
      <c r="Q31" s="171"/>
      <c r="R31" s="163"/>
      <c r="S31" s="163"/>
    </row>
    <row r="32" spans="1:19">
      <c r="A32" s="78">
        <f>IF(F32&lt;&gt;"",1+MAX($A$2:A31),"")</f>
        <v>16</v>
      </c>
      <c r="B32" s="79"/>
      <c r="C32" s="83"/>
      <c r="D32" s="84" t="s">
        <v>60</v>
      </c>
      <c r="E32" s="62">
        <v>293.2</v>
      </c>
      <c r="F32" s="61">
        <v>0.05</v>
      </c>
      <c r="G32" s="62">
        <f t="shared" si="13"/>
        <v>307.86</v>
      </c>
      <c r="H32" s="60" t="s">
        <v>48</v>
      </c>
      <c r="I32" s="140">
        <v>1.7999999999999999E-2</v>
      </c>
      <c r="J32" s="141">
        <f t="shared" ref="J32:J33" si="26">+I32*G32</f>
        <v>5.54148</v>
      </c>
      <c r="K32" s="142">
        <v>132.04349999999999</v>
      </c>
      <c r="L32" s="129">
        <f t="shared" ref="L32:L33" si="27">I32*K32</f>
        <v>2.3767830000000001</v>
      </c>
      <c r="M32" s="129">
        <f t="shared" ref="M32:M33" si="28">K32*J32</f>
        <v>731.71641437999995</v>
      </c>
      <c r="N32" s="128">
        <v>0</v>
      </c>
      <c r="O32" s="128">
        <f t="shared" ref="O32:O33" si="29">N32*G32</f>
        <v>0</v>
      </c>
      <c r="P32" s="129">
        <f t="shared" ref="P32:P33" si="30">(I32*K32)+N32</f>
        <v>2.3767830000000001</v>
      </c>
      <c r="Q32" s="172">
        <f t="shared" ref="Q32:Q33" si="31">P32*G32</f>
        <v>731.71641437999995</v>
      </c>
      <c r="R32" s="163"/>
      <c r="S32" s="163"/>
    </row>
    <row r="33" spans="1:36" ht="46.8">
      <c r="A33" s="78">
        <f>IF(F33&lt;&gt;"",1+MAX($A$2:A32),"")</f>
        <v>17</v>
      </c>
      <c r="B33" s="79"/>
      <c r="C33" s="58"/>
      <c r="D33" s="85" t="s">
        <v>61</v>
      </c>
      <c r="E33" s="62">
        <f>+E31</f>
        <v>155.16999999999999</v>
      </c>
      <c r="F33" s="61">
        <v>0.1</v>
      </c>
      <c r="G33" s="62">
        <f t="shared" si="13"/>
        <v>170.68700000000001</v>
      </c>
      <c r="H33" s="60" t="s">
        <v>46</v>
      </c>
      <c r="I33" s="140">
        <v>5.6000000000000001E-2</v>
      </c>
      <c r="J33" s="141">
        <f t="shared" si="26"/>
        <v>9.5584720000000001</v>
      </c>
      <c r="K33" s="142">
        <v>70.308000000000007</v>
      </c>
      <c r="L33" s="129">
        <f t="shared" si="27"/>
        <v>3.9372479999999999</v>
      </c>
      <c r="M33" s="129">
        <f t="shared" si="28"/>
        <v>672.03704937600003</v>
      </c>
      <c r="N33" s="129">
        <v>1.7</v>
      </c>
      <c r="O33" s="129">
        <f t="shared" si="29"/>
        <v>290.16789999999997</v>
      </c>
      <c r="P33" s="129">
        <f t="shared" si="30"/>
        <v>5.6372479999999996</v>
      </c>
      <c r="Q33" s="172">
        <f t="shared" si="31"/>
        <v>962.20494937599995</v>
      </c>
      <c r="R33" s="163"/>
      <c r="S33" s="163"/>
    </row>
    <row r="34" spans="1:36">
      <c r="A34" s="78" t="str">
        <f>IF(F34&lt;&gt;"",1+MAX($A$2:A33),"")</f>
        <v/>
      </c>
      <c r="B34" s="79"/>
      <c r="C34" s="83"/>
      <c r="D34" s="53"/>
      <c r="E34" s="62"/>
      <c r="F34" s="61"/>
      <c r="G34" s="62"/>
      <c r="H34" s="60"/>
      <c r="I34" s="140"/>
      <c r="J34" s="141"/>
      <c r="K34" s="142"/>
      <c r="L34" s="129"/>
      <c r="M34" s="129"/>
      <c r="N34" s="129"/>
      <c r="O34" s="129"/>
      <c r="P34" s="129"/>
      <c r="Q34" s="172"/>
      <c r="R34" s="163"/>
      <c r="S34" s="163"/>
    </row>
    <row r="35" spans="1:36" ht="62.4">
      <c r="A35" s="78" t="str">
        <f>IF(F35&lt;&gt;"",1+MAX($A$2:A34),"")</f>
        <v/>
      </c>
      <c r="B35" s="79"/>
      <c r="C35" s="83"/>
      <c r="D35" s="86" t="s">
        <v>62</v>
      </c>
      <c r="E35" s="62"/>
      <c r="F35" s="61"/>
      <c r="G35" s="62"/>
      <c r="H35" s="60"/>
      <c r="I35" s="140"/>
      <c r="J35" s="141"/>
      <c r="K35" s="142"/>
      <c r="L35" s="129"/>
      <c r="M35" s="129"/>
      <c r="N35" s="129"/>
      <c r="O35" s="129"/>
      <c r="P35" s="129"/>
      <c r="Q35" s="172"/>
      <c r="R35" s="163"/>
      <c r="S35" s="163"/>
    </row>
    <row r="36" spans="1:36" ht="18" customHeight="1">
      <c r="A36" s="78" t="str">
        <f>IF(F36&lt;&gt;"",1+MAX($A$2:A35),"")</f>
        <v/>
      </c>
      <c r="B36" s="79"/>
      <c r="C36" s="58"/>
      <c r="D36" s="53"/>
      <c r="E36" s="62"/>
      <c r="F36" s="61"/>
      <c r="G36" s="62"/>
      <c r="H36" s="60"/>
      <c r="I36" s="140"/>
      <c r="J36" s="141"/>
      <c r="K36" s="142"/>
      <c r="L36" s="129"/>
      <c r="M36" s="129"/>
      <c r="N36" s="129"/>
      <c r="O36" s="129"/>
      <c r="P36" s="129"/>
      <c r="Q36" s="172"/>
      <c r="R36" s="163"/>
      <c r="S36" s="163"/>
    </row>
    <row r="37" spans="1:36">
      <c r="A37" s="78" t="str">
        <f>IF(F37&lt;&gt;"",1+MAX($A$2:A36),"")</f>
        <v/>
      </c>
      <c r="B37" s="79"/>
      <c r="C37" s="83"/>
      <c r="D37" s="87" t="s">
        <v>63</v>
      </c>
      <c r="E37" s="81">
        <v>40</v>
      </c>
      <c r="F37" s="88"/>
      <c r="G37" s="81">
        <f t="shared" si="13"/>
        <v>40</v>
      </c>
      <c r="H37" s="89" t="s">
        <v>64</v>
      </c>
      <c r="I37" s="137"/>
      <c r="J37" s="138"/>
      <c r="K37" s="139"/>
      <c r="L37" s="139"/>
      <c r="M37" s="139"/>
      <c r="N37" s="139"/>
      <c r="O37" s="139"/>
      <c r="P37" s="139"/>
      <c r="Q37" s="171"/>
      <c r="R37" s="163"/>
      <c r="S37" s="163"/>
    </row>
    <row r="38" spans="1:36" ht="62.4">
      <c r="A38" s="78">
        <f>IF(F38&lt;&gt;"",1+MAX($A$2:A37),"")</f>
        <v>18</v>
      </c>
      <c r="B38" s="79"/>
      <c r="C38" s="58"/>
      <c r="D38" s="85" t="s">
        <v>65</v>
      </c>
      <c r="E38" s="62">
        <f>+E37</f>
        <v>40</v>
      </c>
      <c r="F38" s="61">
        <v>0</v>
      </c>
      <c r="G38" s="62">
        <f t="shared" si="13"/>
        <v>40</v>
      </c>
      <c r="H38" s="60" t="s">
        <v>64</v>
      </c>
      <c r="I38" s="140">
        <v>0.875</v>
      </c>
      <c r="J38" s="141">
        <f>+I38*G38</f>
        <v>35</v>
      </c>
      <c r="K38" s="142">
        <v>70.308000000000007</v>
      </c>
      <c r="L38" s="129">
        <f>I38*K38</f>
        <v>61.519500000000001</v>
      </c>
      <c r="M38" s="129">
        <f>K38*J38</f>
        <v>2460.7800000000002</v>
      </c>
      <c r="N38" s="129">
        <v>28.5</v>
      </c>
      <c r="O38" s="129">
        <f>N38*G38</f>
        <v>1140</v>
      </c>
      <c r="P38" s="129">
        <f>(I38*K38)+N38</f>
        <v>90.019499999999994</v>
      </c>
      <c r="Q38" s="172">
        <f>P38*G38</f>
        <v>3600.78</v>
      </c>
      <c r="R38" s="163"/>
      <c r="S38" s="163"/>
    </row>
    <row r="39" spans="1:36">
      <c r="A39" s="78"/>
      <c r="B39" s="79"/>
      <c r="C39" s="58"/>
      <c r="D39" s="90"/>
      <c r="E39" s="62"/>
      <c r="F39" s="61"/>
      <c r="G39" s="62"/>
      <c r="H39" s="60"/>
      <c r="I39" s="140"/>
      <c r="J39" s="141"/>
      <c r="K39" s="142"/>
      <c r="L39" s="129"/>
      <c r="M39" s="129"/>
      <c r="N39" s="129"/>
      <c r="O39" s="129"/>
      <c r="P39" s="129"/>
      <c r="Q39" s="172"/>
      <c r="R39" s="163"/>
      <c r="S39" s="163"/>
    </row>
    <row r="40" spans="1:36">
      <c r="A40" s="78">
        <f>IF(F40&lt;&gt;"",1+MAX($A$2:A38),"")</f>
        <v>19</v>
      </c>
      <c r="B40" s="79"/>
      <c r="C40" s="83"/>
      <c r="D40" s="87" t="s">
        <v>66</v>
      </c>
      <c r="E40" s="62">
        <f>241150-E19-E27</f>
        <v>216400.51</v>
      </c>
      <c r="F40" s="61">
        <v>0.1</v>
      </c>
      <c r="G40" s="62">
        <f>(F40*E40)+E40</f>
        <v>238040.56099999999</v>
      </c>
      <c r="H40" s="60" t="s">
        <v>46</v>
      </c>
      <c r="I40" s="140">
        <v>8.9999999999999993E-3</v>
      </c>
      <c r="J40" s="141">
        <f>+I40*G40</f>
        <v>2142.365049</v>
      </c>
      <c r="K40" s="142">
        <v>70.308000000000007</v>
      </c>
      <c r="L40" s="129">
        <f>I40*K40</f>
        <v>0.632772</v>
      </c>
      <c r="M40" s="129">
        <f>K40*J40</f>
        <v>150625.40186509199</v>
      </c>
      <c r="N40" s="129">
        <v>0.38</v>
      </c>
      <c r="O40" s="129">
        <f>N40*G40</f>
        <v>90455.413180000003</v>
      </c>
      <c r="P40" s="129">
        <f>(I40*K40)+N40</f>
        <v>1.012772</v>
      </c>
      <c r="Q40" s="172">
        <f>P40*G40</f>
        <v>241080.81504509199</v>
      </c>
      <c r="R40" s="163"/>
      <c r="S40" s="163"/>
    </row>
    <row r="41" spans="1:36">
      <c r="A41" s="78" t="str">
        <f>IF(F41&lt;&gt;"",1+MAX($A$2:A40),"")</f>
        <v/>
      </c>
      <c r="B41" s="79"/>
      <c r="C41" s="83"/>
      <c r="D41" s="91"/>
      <c r="E41" s="66"/>
      <c r="F41" s="65"/>
      <c r="G41" s="66"/>
      <c r="H41" s="64"/>
      <c r="I41" s="143"/>
      <c r="J41" s="144"/>
      <c r="K41" s="144"/>
      <c r="L41" s="145"/>
      <c r="M41" s="145"/>
      <c r="N41" s="145"/>
      <c r="O41" s="145"/>
      <c r="P41" s="145"/>
      <c r="Q41" s="173"/>
      <c r="R41" s="163"/>
      <c r="S41" s="163"/>
    </row>
    <row r="42" spans="1:36" s="29" customFormat="1">
      <c r="A42" s="67" t="str">
        <f>IF(F42&lt;&gt;"",1+MAX($A$2:A41),"")</f>
        <v/>
      </c>
      <c r="B42" s="74"/>
      <c r="C42" s="69"/>
      <c r="D42" s="70" t="s">
        <v>42</v>
      </c>
      <c r="E42" s="71"/>
      <c r="F42" s="71"/>
      <c r="G42" s="71"/>
      <c r="H42" s="71"/>
      <c r="I42" s="71"/>
      <c r="J42" s="146"/>
      <c r="K42" s="146"/>
      <c r="L42" s="147"/>
      <c r="M42" s="148"/>
      <c r="N42" s="147"/>
      <c r="O42" s="134"/>
      <c r="P42" s="134"/>
      <c r="Q42" s="165">
        <f>SUM(Q20:Q40)</f>
        <v>763625.25556255004</v>
      </c>
      <c r="R42" s="166"/>
    </row>
    <row r="43" spans="1:36" s="32" customFormat="1" ht="46.8">
      <c r="A43" s="92"/>
      <c r="B43" s="92"/>
      <c r="C43" s="92"/>
      <c r="D43" s="92"/>
      <c r="E43" s="92"/>
      <c r="F43" s="92"/>
      <c r="G43" s="92"/>
      <c r="H43" s="216" t="s">
        <v>67</v>
      </c>
      <c r="I43" s="217"/>
      <c r="J43" s="149">
        <f>SUM(J17:J42)</f>
        <v>7193.2349961999998</v>
      </c>
      <c r="K43" s="218" t="s">
        <v>28</v>
      </c>
      <c r="L43" s="219"/>
      <c r="M43" s="150">
        <f>SUM(M17:M42)</f>
        <v>536707.35467254999</v>
      </c>
      <c r="N43" s="151" t="s">
        <v>30</v>
      </c>
      <c r="O43" s="152">
        <f>SUM(O17:O42)</f>
        <v>226917.90088999999</v>
      </c>
      <c r="P43" s="92"/>
      <c r="Q43" s="174"/>
      <c r="S43" s="175"/>
    </row>
    <row r="44" spans="1:36" s="32" customFormat="1">
      <c r="A44" s="93"/>
      <c r="B44" s="94"/>
      <c r="C44" s="95"/>
      <c r="D44" s="96" t="s">
        <v>68</v>
      </c>
      <c r="E44" s="97"/>
      <c r="F44" s="97"/>
      <c r="G44" s="98"/>
      <c r="H44" s="97"/>
      <c r="I44" s="97"/>
      <c r="J44" s="97"/>
      <c r="K44" s="97"/>
      <c r="L44" s="153"/>
      <c r="M44" s="153"/>
      <c r="N44" s="153"/>
      <c r="O44" s="153"/>
      <c r="P44" s="153"/>
      <c r="Q44" s="176">
        <f>SUM(Q8:Q42)/2</f>
        <v>821625.25556255004</v>
      </c>
    </row>
    <row r="45" spans="1:36" s="32" customFormat="1">
      <c r="A45" s="93"/>
      <c r="B45" s="94"/>
      <c r="C45" s="99"/>
      <c r="D45" s="100" t="s">
        <v>69</v>
      </c>
      <c r="E45" s="101"/>
      <c r="F45" s="95"/>
      <c r="G45" s="101"/>
      <c r="H45" s="95"/>
      <c r="I45" s="95"/>
      <c r="J45" s="95"/>
      <c r="K45" s="95"/>
      <c r="L45" s="154">
        <v>0.05</v>
      </c>
      <c r="M45" s="154"/>
      <c r="N45" s="154"/>
      <c r="O45" s="154"/>
      <c r="P45" s="154"/>
      <c r="Q45" s="176">
        <f>Q44*L45</f>
        <v>41081.2627781275</v>
      </c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</row>
    <row r="46" spans="1:36" s="32" customFormat="1">
      <c r="A46" s="102"/>
      <c r="B46" s="103"/>
      <c r="C46" s="104"/>
      <c r="D46" s="105" t="s">
        <v>8</v>
      </c>
      <c r="E46" s="106"/>
      <c r="F46" s="107"/>
      <c r="G46" s="106"/>
      <c r="H46" s="107"/>
      <c r="I46" s="107"/>
      <c r="J46" s="107"/>
      <c r="K46" s="107"/>
      <c r="L46" s="155">
        <v>0.2</v>
      </c>
      <c r="M46" s="155"/>
      <c r="N46" s="155"/>
      <c r="O46" s="155"/>
      <c r="P46" s="155"/>
      <c r="Q46" s="178">
        <f>Q44*L46</f>
        <v>164325.05111251</v>
      </c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</row>
    <row r="47" spans="1:36" s="32" customFormat="1">
      <c r="A47" s="108"/>
      <c r="B47" s="109"/>
      <c r="C47" s="110"/>
      <c r="D47" s="111" t="s">
        <v>9</v>
      </c>
      <c r="E47" s="112"/>
      <c r="F47" s="113"/>
      <c r="G47" s="112"/>
      <c r="H47" s="113"/>
      <c r="I47" s="113"/>
      <c r="J47" s="113"/>
      <c r="K47" s="113"/>
      <c r="L47" s="156">
        <v>6.6299999999999998E-2</v>
      </c>
      <c r="M47" s="156"/>
      <c r="N47" s="156"/>
      <c r="O47" s="156"/>
      <c r="P47" s="156"/>
      <c r="Q47" s="179">
        <f>O43*L47</f>
        <v>15044.656829007001</v>
      </c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</row>
    <row r="48" spans="1:36" s="32" customFormat="1">
      <c r="A48" s="108"/>
      <c r="B48" s="109"/>
      <c r="C48" s="110"/>
      <c r="D48" s="111" t="s">
        <v>10</v>
      </c>
      <c r="E48" s="112"/>
      <c r="F48" s="113"/>
      <c r="G48" s="112"/>
      <c r="H48" s="113"/>
      <c r="I48" s="113"/>
      <c r="J48" s="113"/>
      <c r="K48" s="113"/>
      <c r="L48" s="157">
        <v>1.4999999999999999E-2</v>
      </c>
      <c r="M48" s="157"/>
      <c r="N48" s="157"/>
      <c r="O48" s="157"/>
      <c r="P48" s="157"/>
      <c r="Q48" s="179">
        <f>Q44*L48</f>
        <v>12324.378833438201</v>
      </c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</row>
    <row r="49" spans="1:17" s="32" customFormat="1">
      <c r="A49" s="114"/>
      <c r="B49" s="115"/>
      <c r="C49" s="116"/>
      <c r="D49" s="117" t="s">
        <v>11</v>
      </c>
      <c r="E49" s="118"/>
      <c r="F49" s="118"/>
      <c r="G49" s="119"/>
      <c r="H49" s="118"/>
      <c r="I49" s="118"/>
      <c r="J49" s="118"/>
      <c r="K49" s="118"/>
      <c r="L49" s="158"/>
      <c r="M49" s="158"/>
      <c r="N49" s="158"/>
      <c r="O49" s="158"/>
      <c r="P49" s="158"/>
      <c r="Q49" s="180">
        <f>SUM(Q44:Q48)</f>
        <v>1054400.60511563</v>
      </c>
    </row>
  </sheetData>
  <mergeCells count="6">
    <mergeCell ref="A2:Q2"/>
    <mergeCell ref="B3:C3"/>
    <mergeCell ref="B4:C4"/>
    <mergeCell ref="B5:C5"/>
    <mergeCell ref="H43:I43"/>
    <mergeCell ref="K43:L43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52"/>
  <sheetViews>
    <sheetView topLeftCell="A33" workbookViewId="0">
      <selection activeCell="E45" sqref="E45"/>
    </sheetView>
  </sheetViews>
  <sheetFormatPr defaultColWidth="9.09765625" defaultRowHeight="14.4"/>
  <cols>
    <col min="1" max="1" width="26.8984375" style="1" customWidth="1"/>
    <col min="2" max="2" width="19.69921875" style="2" customWidth="1"/>
    <col min="3" max="3" width="20.59765625" style="2" customWidth="1"/>
    <col min="4" max="16384" width="9.09765625" style="2"/>
  </cols>
  <sheetData>
    <row r="1" spans="1:3" ht="15.6">
      <c r="A1" s="3"/>
      <c r="B1" s="4" t="s">
        <v>70</v>
      </c>
      <c r="C1" s="5" t="s">
        <v>71</v>
      </c>
    </row>
    <row r="2" spans="1:3" ht="15.6">
      <c r="A2" s="6"/>
      <c r="B2" s="7"/>
      <c r="C2" s="8"/>
    </row>
    <row r="3" spans="1:3" ht="15.6">
      <c r="A3" s="9" t="s">
        <v>72</v>
      </c>
      <c r="B3" s="10" t="s">
        <v>73</v>
      </c>
      <c r="C3" s="11">
        <v>60</v>
      </c>
    </row>
    <row r="4" spans="1:3" ht="15.6">
      <c r="A4" s="9" t="s">
        <v>74</v>
      </c>
      <c r="B4" s="10" t="s">
        <v>75</v>
      </c>
      <c r="C4" s="11">
        <v>70</v>
      </c>
    </row>
    <row r="5" spans="1:3" ht="15.6">
      <c r="A5" s="9" t="s">
        <v>76</v>
      </c>
      <c r="B5" s="10" t="s">
        <v>77</v>
      </c>
      <c r="C5" s="11">
        <v>70</v>
      </c>
    </row>
    <row r="6" spans="1:3" ht="15.6">
      <c r="A6" s="9" t="s">
        <v>78</v>
      </c>
      <c r="B6" s="10" t="s">
        <v>79</v>
      </c>
      <c r="C6" s="11">
        <v>70</v>
      </c>
    </row>
    <row r="7" spans="1:3" ht="15.6">
      <c r="A7" s="9" t="s">
        <v>80</v>
      </c>
      <c r="B7" s="10" t="s">
        <v>81</v>
      </c>
      <c r="C7" s="11">
        <v>60</v>
      </c>
    </row>
    <row r="8" spans="1:3" ht="15.6">
      <c r="A8" s="9" t="s">
        <v>82</v>
      </c>
      <c r="B8" s="10" t="s">
        <v>82</v>
      </c>
      <c r="C8" s="11">
        <v>60</v>
      </c>
    </row>
    <row r="9" spans="1:3" ht="15.6">
      <c r="A9" s="9" t="s">
        <v>83</v>
      </c>
      <c r="B9" s="10" t="s">
        <v>83</v>
      </c>
      <c r="C9" s="11">
        <v>55</v>
      </c>
    </row>
    <row r="10" spans="1:3" ht="15.6">
      <c r="A10" s="9" t="s">
        <v>84</v>
      </c>
      <c r="B10" s="10" t="s">
        <v>85</v>
      </c>
      <c r="C10" s="11">
        <v>50</v>
      </c>
    </row>
    <row r="11" spans="1:3" ht="15.6">
      <c r="A11" s="9" t="s">
        <v>86</v>
      </c>
      <c r="B11" s="10" t="s">
        <v>87</v>
      </c>
      <c r="C11" s="11">
        <v>60</v>
      </c>
    </row>
    <row r="12" spans="1:3" ht="15.6">
      <c r="A12" s="9" t="s">
        <v>88</v>
      </c>
      <c r="B12" s="10" t="s">
        <v>89</v>
      </c>
      <c r="C12" s="11">
        <v>70</v>
      </c>
    </row>
    <row r="13" spans="1:3" ht="15.6">
      <c r="A13" s="9" t="s">
        <v>5</v>
      </c>
      <c r="B13" s="10" t="s">
        <v>90</v>
      </c>
      <c r="C13" s="11">
        <v>70</v>
      </c>
    </row>
    <row r="14" spans="1:3" ht="15.6">
      <c r="A14" s="9" t="s">
        <v>91</v>
      </c>
      <c r="B14" s="10" t="s">
        <v>92</v>
      </c>
      <c r="C14" s="11">
        <v>70</v>
      </c>
    </row>
    <row r="15" spans="1:3" ht="15.6">
      <c r="A15" s="9" t="s">
        <v>93</v>
      </c>
      <c r="B15" s="10" t="s">
        <v>94</v>
      </c>
      <c r="C15" s="11">
        <v>70</v>
      </c>
    </row>
    <row r="16" spans="1:3" ht="15.6">
      <c r="A16" s="9" t="s">
        <v>95</v>
      </c>
      <c r="B16" s="10" t="s">
        <v>96</v>
      </c>
      <c r="C16" s="11">
        <v>85</v>
      </c>
    </row>
    <row r="17" spans="1:3" ht="15.6">
      <c r="A17" s="9" t="s">
        <v>97</v>
      </c>
      <c r="B17" s="10" t="s">
        <v>98</v>
      </c>
      <c r="C17" s="11">
        <v>65</v>
      </c>
    </row>
    <row r="18" spans="1:3" ht="15.6">
      <c r="A18" s="9" t="s">
        <v>99</v>
      </c>
      <c r="B18" s="10" t="s">
        <v>99</v>
      </c>
      <c r="C18" s="12">
        <v>45</v>
      </c>
    </row>
    <row r="19" spans="1:3" ht="15.6">
      <c r="A19" s="13"/>
      <c r="B19" s="14"/>
      <c r="C19" s="15"/>
    </row>
    <row r="20" spans="1:3">
      <c r="A20" s="3"/>
      <c r="B20" s="3"/>
      <c r="C20" s="3"/>
    </row>
    <row r="21" spans="1:3">
      <c r="A21" s="16" t="s">
        <v>100</v>
      </c>
      <c r="B21" s="17">
        <v>0</v>
      </c>
      <c r="C21" s="3"/>
    </row>
    <row r="22" spans="1:3">
      <c r="A22" s="3"/>
      <c r="B22" s="3"/>
      <c r="C22" s="3"/>
    </row>
    <row r="23" spans="1:3" ht="15.6">
      <c r="A23" s="3"/>
      <c r="B23" s="220" t="s">
        <v>21</v>
      </c>
      <c r="C23" s="221"/>
    </row>
    <row r="24" spans="1:3" ht="15.6">
      <c r="A24" s="18" t="s">
        <v>101</v>
      </c>
      <c r="B24" s="19" t="s">
        <v>64</v>
      </c>
      <c r="C24" s="20">
        <v>0</v>
      </c>
    </row>
    <row r="25" spans="1:3" ht="15.6">
      <c r="A25" s="21" t="s">
        <v>102</v>
      </c>
      <c r="B25" s="22" t="s">
        <v>48</v>
      </c>
      <c r="C25" s="23">
        <v>0.05</v>
      </c>
    </row>
    <row r="26" spans="1:3" ht="15.6">
      <c r="A26" s="21" t="s">
        <v>103</v>
      </c>
      <c r="B26" s="22" t="s">
        <v>46</v>
      </c>
      <c r="C26" s="23">
        <v>0.1</v>
      </c>
    </row>
    <row r="27" spans="1:3" ht="15.6">
      <c r="A27" s="21" t="s">
        <v>104</v>
      </c>
      <c r="B27" s="22" t="s">
        <v>105</v>
      </c>
      <c r="C27" s="23">
        <v>0.1</v>
      </c>
    </row>
    <row r="28" spans="1:3" ht="15.6">
      <c r="A28" s="21" t="s">
        <v>106</v>
      </c>
      <c r="B28" s="22" t="s">
        <v>51</v>
      </c>
      <c r="C28" s="23">
        <v>0.1</v>
      </c>
    </row>
    <row r="29" spans="1:3" ht="15.6">
      <c r="A29" s="21" t="s">
        <v>107</v>
      </c>
      <c r="B29" s="22" t="s">
        <v>35</v>
      </c>
      <c r="C29" s="23">
        <v>0</v>
      </c>
    </row>
    <row r="30" spans="1:3" ht="15.6">
      <c r="A30" s="21" t="s">
        <v>108</v>
      </c>
      <c r="B30" s="22" t="s">
        <v>109</v>
      </c>
      <c r="C30" s="23">
        <v>0</v>
      </c>
    </row>
    <row r="31" spans="1:3" ht="15.6">
      <c r="A31" s="21" t="s">
        <v>110</v>
      </c>
      <c r="B31" s="22" t="s">
        <v>111</v>
      </c>
      <c r="C31" s="23">
        <v>0</v>
      </c>
    </row>
    <row r="32" spans="1:3" ht="15.6">
      <c r="A32" s="21" t="s">
        <v>112</v>
      </c>
      <c r="B32" s="22" t="s">
        <v>113</v>
      </c>
      <c r="C32" s="23">
        <v>0</v>
      </c>
    </row>
    <row r="33" spans="1:3" ht="15.6">
      <c r="A33" s="21" t="s">
        <v>114</v>
      </c>
      <c r="B33" s="22" t="s">
        <v>115</v>
      </c>
      <c r="C33" s="23">
        <v>0</v>
      </c>
    </row>
    <row r="34" spans="1:3" ht="15.6">
      <c r="A34" s="21" t="s">
        <v>116</v>
      </c>
      <c r="B34" s="22" t="s">
        <v>117</v>
      </c>
      <c r="C34" s="23">
        <v>0.1</v>
      </c>
    </row>
    <row r="35" spans="1:3" ht="15.6">
      <c r="A35" s="21" t="s">
        <v>118</v>
      </c>
      <c r="B35" s="22" t="s">
        <v>55</v>
      </c>
      <c r="C35" s="23">
        <v>0.1</v>
      </c>
    </row>
    <row r="36" spans="1:3" ht="15.6">
      <c r="A36" s="21" t="s">
        <v>119</v>
      </c>
      <c r="B36" s="22" t="s">
        <v>120</v>
      </c>
      <c r="C36" s="23">
        <v>0</v>
      </c>
    </row>
    <row r="37" spans="1:3" ht="15.6">
      <c r="A37" s="21" t="s">
        <v>121</v>
      </c>
      <c r="B37" s="22" t="s">
        <v>122</v>
      </c>
      <c r="C37" s="23">
        <v>0</v>
      </c>
    </row>
    <row r="38" spans="1:3" ht="15.6">
      <c r="A38" s="21" t="s">
        <v>123</v>
      </c>
      <c r="B38" s="22" t="s">
        <v>123</v>
      </c>
      <c r="C38" s="23">
        <v>0.1</v>
      </c>
    </row>
    <row r="39" spans="1:3" ht="15.6">
      <c r="A39" s="21" t="s">
        <v>124</v>
      </c>
      <c r="B39" s="22" t="s">
        <v>125</v>
      </c>
      <c r="C39" s="23">
        <v>0</v>
      </c>
    </row>
    <row r="40" spans="1:3" ht="15.6">
      <c r="A40" s="21" t="s">
        <v>126</v>
      </c>
      <c r="B40" s="22" t="s">
        <v>127</v>
      </c>
      <c r="C40" s="23">
        <v>0</v>
      </c>
    </row>
    <row r="41" spans="1:3" ht="15.6">
      <c r="A41" s="21" t="s">
        <v>128</v>
      </c>
      <c r="B41" s="22" t="s">
        <v>129</v>
      </c>
      <c r="C41" s="23">
        <v>0</v>
      </c>
    </row>
    <row r="42" spans="1:3" ht="15.6">
      <c r="A42" s="21" t="s">
        <v>119</v>
      </c>
      <c r="B42" s="22" t="s">
        <v>130</v>
      </c>
      <c r="C42" s="23">
        <v>0</v>
      </c>
    </row>
    <row r="43" spans="1:3" ht="15.6">
      <c r="A43" s="21" t="s">
        <v>131</v>
      </c>
      <c r="B43" s="22" t="s">
        <v>132</v>
      </c>
      <c r="C43" s="23">
        <v>0</v>
      </c>
    </row>
    <row r="44" spans="1:3" ht="15.6">
      <c r="A44" s="21" t="s">
        <v>133</v>
      </c>
      <c r="B44" s="22" t="s">
        <v>134</v>
      </c>
      <c r="C44" s="23">
        <v>0</v>
      </c>
    </row>
    <row r="45" spans="1:3" ht="15.6">
      <c r="A45" s="21" t="s">
        <v>135</v>
      </c>
      <c r="B45" s="22" t="s">
        <v>136</v>
      </c>
      <c r="C45" s="23">
        <v>0.1</v>
      </c>
    </row>
    <row r="46" spans="1:3" ht="15.6">
      <c r="A46" s="24" t="s">
        <v>137</v>
      </c>
      <c r="B46" s="25" t="s">
        <v>137</v>
      </c>
      <c r="C46" s="26">
        <v>0</v>
      </c>
    </row>
    <row r="49" spans="1:8">
      <c r="A49" s="27" t="s">
        <v>138</v>
      </c>
      <c r="B49" s="28"/>
      <c r="C49" s="28"/>
      <c r="D49" s="28"/>
      <c r="E49" s="28"/>
      <c r="F49" s="28"/>
      <c r="G49" s="28"/>
      <c r="H49" s="28"/>
    </row>
    <row r="50" spans="1:8">
      <c r="A50" s="28" t="s">
        <v>139</v>
      </c>
      <c r="B50" s="28"/>
      <c r="C50" s="28"/>
      <c r="D50" s="28"/>
      <c r="E50" s="28"/>
      <c r="F50" s="28"/>
      <c r="G50" s="28"/>
      <c r="H50" s="28"/>
    </row>
    <row r="51" spans="1:8">
      <c r="A51" s="28" t="s">
        <v>140</v>
      </c>
      <c r="B51" s="28"/>
      <c r="C51" s="28"/>
      <c r="D51" s="28"/>
      <c r="E51" s="28"/>
      <c r="F51" s="28"/>
      <c r="G51" s="28"/>
      <c r="H51" s="28"/>
    </row>
    <row r="52" spans="1:8">
      <c r="A52" s="28" t="s">
        <v>141</v>
      </c>
      <c r="B52" s="28"/>
      <c r="C52" s="28"/>
      <c r="D52" s="28"/>
      <c r="E52" s="28"/>
      <c r="F52" s="28"/>
      <c r="G52" s="28"/>
      <c r="H52" s="28"/>
    </row>
  </sheetData>
  <mergeCells count="1">
    <mergeCell ref="B23:C23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4EC0B2BD-4A39-44CC-AC5E-7B6D7C01B7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 Breakdown</vt:lpstr>
      <vt:lpstr>LABOR SHEET</vt:lpstr>
      <vt:lpstr>'General Summary'!Print_Area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{4EC0B2BD-4A39-44CC-AC5E-7B6D7C01B7CC}</vt:lpwstr>
  </property>
  <property fmtid="{D5CDD505-2E9C-101B-9397-08002B2CF9AE}" pid="6" name="ICV">
    <vt:lpwstr>EC1FCEACD50048F7BE22E171269F4281_12</vt:lpwstr>
  </property>
  <property fmtid="{D5CDD505-2E9C-101B-9397-08002B2CF9AE}" pid="7" name="KSOProductBuildVer">
    <vt:lpwstr>1033-12.2.0.23131</vt:lpwstr>
  </property>
</Properties>
</file>