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ity\Desktop\Website Samples\"/>
    </mc:Choice>
  </mc:AlternateContent>
  <xr:revisionPtr revIDLastSave="0" documentId="13_ncr:1_{16E5E8C3-13C1-4816-AF02-FD04944F856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General Summary" sheetId="4" r:id="rId1"/>
    <sheet name="Takeoff Breakdown" sheetId="1" r:id="rId2"/>
    <sheet name="LABOR SHEET" sheetId="6" r:id="rId3"/>
  </sheets>
  <definedNames>
    <definedName name="_xlnm._FilterDatabase" localSheetId="1" hidden="1">'Takeoff Breakdown'!$A$17:$AJ$106</definedName>
    <definedName name="_xlnm.Print_Area" localSheetId="0">'General Summary'!$A$1:$N$17</definedName>
    <definedName name="_xlnm.Print_Area" localSheetId="1">'Takeoff Breakdown'!$A$2:$Q$106</definedName>
    <definedName name="_xlnm.Print_Titles" localSheetId="1">'Takeoff Breakdown'!$1:$6</definedName>
  </definedNames>
  <calcPr calcId="181029"/>
</workbook>
</file>

<file path=xl/calcChain.xml><?xml version="1.0" encoding="utf-8"?>
<calcChain xmlns="http://schemas.openxmlformats.org/spreadsheetml/2006/main">
  <c r="G19" i="1" l="1"/>
  <c r="O19" i="1"/>
  <c r="G20" i="1"/>
  <c r="O20" i="1"/>
  <c r="G21" i="1"/>
  <c r="O21" i="1"/>
  <c r="E22" i="1"/>
  <c r="G22" i="1"/>
  <c r="O22" i="1"/>
  <c r="G23" i="1"/>
  <c r="O23" i="1"/>
  <c r="G24" i="1"/>
  <c r="O24" i="1"/>
  <c r="G30" i="1"/>
  <c r="O30" i="1"/>
  <c r="N31" i="1"/>
  <c r="G31" i="1"/>
  <c r="O31" i="1"/>
  <c r="G34" i="1"/>
  <c r="O34" i="1"/>
  <c r="G35" i="1"/>
  <c r="O35" i="1"/>
  <c r="G41" i="1"/>
  <c r="O41" i="1"/>
  <c r="E43" i="1"/>
  <c r="G43" i="1"/>
  <c r="O43" i="1"/>
  <c r="E42" i="1"/>
  <c r="E44" i="1"/>
  <c r="G44" i="1"/>
  <c r="O44" i="1"/>
  <c r="E45" i="1"/>
  <c r="G45" i="1"/>
  <c r="O45" i="1"/>
  <c r="G47" i="1"/>
  <c r="O47" i="1"/>
  <c r="E49" i="1"/>
  <c r="G49" i="1"/>
  <c r="O49" i="1"/>
  <c r="E48" i="1"/>
  <c r="E50" i="1"/>
  <c r="G50" i="1"/>
  <c r="O50" i="1"/>
  <c r="E51" i="1"/>
  <c r="G51" i="1"/>
  <c r="O51" i="1"/>
  <c r="G53" i="1"/>
  <c r="O53" i="1"/>
  <c r="E55" i="1"/>
  <c r="G55" i="1"/>
  <c r="O55" i="1"/>
  <c r="E54" i="1"/>
  <c r="E56" i="1"/>
  <c r="G56" i="1"/>
  <c r="O56" i="1"/>
  <c r="E57" i="1"/>
  <c r="G57" i="1"/>
  <c r="O57" i="1"/>
  <c r="G60" i="1"/>
  <c r="O60" i="1"/>
  <c r="E62" i="1"/>
  <c r="G62" i="1"/>
  <c r="O62" i="1"/>
  <c r="E61" i="1"/>
  <c r="E63" i="1"/>
  <c r="G63" i="1"/>
  <c r="O63" i="1"/>
  <c r="E64" i="1"/>
  <c r="G64" i="1"/>
  <c r="O64" i="1"/>
  <c r="G66" i="1"/>
  <c r="O66" i="1"/>
  <c r="E68" i="1"/>
  <c r="G68" i="1"/>
  <c r="O68" i="1"/>
  <c r="E67" i="1"/>
  <c r="E69" i="1"/>
  <c r="G69" i="1"/>
  <c r="O69" i="1"/>
  <c r="E70" i="1"/>
  <c r="G70" i="1"/>
  <c r="O70" i="1"/>
  <c r="G75" i="1"/>
  <c r="O75" i="1"/>
  <c r="G81" i="1"/>
  <c r="O81" i="1"/>
  <c r="E84" i="1"/>
  <c r="G84" i="1"/>
  <c r="O84" i="1"/>
  <c r="G85" i="1"/>
  <c r="O85" i="1"/>
  <c r="G86" i="1"/>
  <c r="O86" i="1"/>
  <c r="G89" i="1"/>
  <c r="O89" i="1"/>
  <c r="G90" i="1"/>
  <c r="O90" i="1"/>
  <c r="E93" i="1"/>
  <c r="G93" i="1"/>
  <c r="O93" i="1"/>
  <c r="G96" i="1"/>
  <c r="O96" i="1"/>
  <c r="O100" i="1"/>
  <c r="K19" i="1"/>
  <c r="J19" i="1"/>
  <c r="M19" i="1"/>
  <c r="K20" i="1"/>
  <c r="J20" i="1"/>
  <c r="M20" i="1"/>
  <c r="K21" i="1"/>
  <c r="J21" i="1"/>
  <c r="M21" i="1"/>
  <c r="K22" i="1"/>
  <c r="J22" i="1"/>
  <c r="M22" i="1"/>
  <c r="K23" i="1"/>
  <c r="J23" i="1"/>
  <c r="M23" i="1"/>
  <c r="K24" i="1"/>
  <c r="J24" i="1"/>
  <c r="M24" i="1"/>
  <c r="K30" i="1"/>
  <c r="J30" i="1"/>
  <c r="M30" i="1"/>
  <c r="K31" i="1"/>
  <c r="J31" i="1"/>
  <c r="M31" i="1"/>
  <c r="K34" i="1"/>
  <c r="J34" i="1"/>
  <c r="M34" i="1"/>
  <c r="K35" i="1"/>
  <c r="J35" i="1"/>
  <c r="M35" i="1"/>
  <c r="K41" i="1"/>
  <c r="J41" i="1"/>
  <c r="M41" i="1"/>
  <c r="K43" i="1"/>
  <c r="J43" i="1"/>
  <c r="M43" i="1"/>
  <c r="K44" i="1"/>
  <c r="J44" i="1"/>
  <c r="M44" i="1"/>
  <c r="K45" i="1"/>
  <c r="J45" i="1"/>
  <c r="M45" i="1"/>
  <c r="K47" i="1"/>
  <c r="J47" i="1"/>
  <c r="M47" i="1"/>
  <c r="K49" i="1"/>
  <c r="J49" i="1"/>
  <c r="M49" i="1"/>
  <c r="K50" i="1"/>
  <c r="J50" i="1"/>
  <c r="M50" i="1"/>
  <c r="K51" i="1"/>
  <c r="J51" i="1"/>
  <c r="M51" i="1"/>
  <c r="K53" i="1"/>
  <c r="J53" i="1"/>
  <c r="M53" i="1"/>
  <c r="K55" i="1"/>
  <c r="J55" i="1"/>
  <c r="M55" i="1"/>
  <c r="K56" i="1"/>
  <c r="J56" i="1"/>
  <c r="M56" i="1"/>
  <c r="K57" i="1"/>
  <c r="J57" i="1"/>
  <c r="M57" i="1"/>
  <c r="K60" i="1"/>
  <c r="J60" i="1"/>
  <c r="M60" i="1"/>
  <c r="K62" i="1"/>
  <c r="J62" i="1"/>
  <c r="M62" i="1"/>
  <c r="K63" i="1"/>
  <c r="J63" i="1"/>
  <c r="M63" i="1"/>
  <c r="K64" i="1"/>
  <c r="J64" i="1"/>
  <c r="M64" i="1"/>
  <c r="K66" i="1"/>
  <c r="J66" i="1"/>
  <c r="M66" i="1"/>
  <c r="K68" i="1"/>
  <c r="J68" i="1"/>
  <c r="M68" i="1"/>
  <c r="K69" i="1"/>
  <c r="J69" i="1"/>
  <c r="M69" i="1"/>
  <c r="K70" i="1"/>
  <c r="J70" i="1"/>
  <c r="M70" i="1"/>
  <c r="K75" i="1"/>
  <c r="J75" i="1"/>
  <c r="M75" i="1"/>
  <c r="K81" i="1"/>
  <c r="J81" i="1"/>
  <c r="M81" i="1"/>
  <c r="K84" i="1"/>
  <c r="J84" i="1"/>
  <c r="M84" i="1"/>
  <c r="K85" i="1"/>
  <c r="J85" i="1"/>
  <c r="M85" i="1"/>
  <c r="K86" i="1"/>
  <c r="J86" i="1"/>
  <c r="M86" i="1"/>
  <c r="K89" i="1"/>
  <c r="J89" i="1"/>
  <c r="M89" i="1"/>
  <c r="K90" i="1"/>
  <c r="J90" i="1"/>
  <c r="M90" i="1"/>
  <c r="K93" i="1"/>
  <c r="J93" i="1"/>
  <c r="M93" i="1"/>
  <c r="K96" i="1"/>
  <c r="J96" i="1"/>
  <c r="M96" i="1"/>
  <c r="M100" i="1"/>
  <c r="J100" i="1"/>
  <c r="A100" i="1"/>
  <c r="A99" i="1"/>
  <c r="P81" i="1"/>
  <c r="Q81" i="1"/>
  <c r="P84" i="1"/>
  <c r="Q84" i="1"/>
  <c r="P85" i="1"/>
  <c r="Q85" i="1"/>
  <c r="P86" i="1"/>
  <c r="Q86" i="1"/>
  <c r="P89" i="1"/>
  <c r="Q89" i="1"/>
  <c r="P90" i="1"/>
  <c r="Q90" i="1"/>
  <c r="P93" i="1"/>
  <c r="Q93" i="1"/>
  <c r="P96" i="1"/>
  <c r="Q96" i="1"/>
  <c r="Q98" i="1"/>
  <c r="A98" i="1"/>
  <c r="A97" i="1"/>
  <c r="L96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L93" i="1"/>
  <c r="L90" i="1"/>
  <c r="L89" i="1"/>
  <c r="L86" i="1"/>
  <c r="L85" i="1"/>
  <c r="L84" i="1"/>
  <c r="L81" i="1"/>
  <c r="P75" i="1"/>
  <c r="Q75" i="1"/>
  <c r="Q77" i="1"/>
  <c r="L75" i="1"/>
  <c r="P41" i="1"/>
  <c r="Q41" i="1"/>
  <c r="P43" i="1"/>
  <c r="Q43" i="1"/>
  <c r="P44" i="1"/>
  <c r="Q44" i="1"/>
  <c r="P45" i="1"/>
  <c r="Q45" i="1"/>
  <c r="P47" i="1"/>
  <c r="Q47" i="1"/>
  <c r="P49" i="1"/>
  <c r="Q49" i="1"/>
  <c r="P50" i="1"/>
  <c r="Q50" i="1"/>
  <c r="P51" i="1"/>
  <c r="Q51" i="1"/>
  <c r="P53" i="1"/>
  <c r="Q53" i="1"/>
  <c r="P55" i="1"/>
  <c r="Q55" i="1"/>
  <c r="P56" i="1"/>
  <c r="Q56" i="1"/>
  <c r="P57" i="1"/>
  <c r="Q57" i="1"/>
  <c r="P60" i="1"/>
  <c r="Q60" i="1"/>
  <c r="P62" i="1"/>
  <c r="Q62" i="1"/>
  <c r="P63" i="1"/>
  <c r="Q63" i="1"/>
  <c r="P64" i="1"/>
  <c r="Q64" i="1"/>
  <c r="P66" i="1"/>
  <c r="Q66" i="1"/>
  <c r="P68" i="1"/>
  <c r="Q68" i="1"/>
  <c r="P69" i="1"/>
  <c r="Q69" i="1"/>
  <c r="P70" i="1"/>
  <c r="Q70" i="1"/>
  <c r="Q72" i="1"/>
  <c r="L70" i="1"/>
  <c r="L69" i="1"/>
  <c r="L68" i="1"/>
  <c r="G67" i="1"/>
  <c r="L66" i="1"/>
  <c r="L64" i="1"/>
  <c r="L63" i="1"/>
  <c r="L62" i="1"/>
  <c r="G61" i="1"/>
  <c r="L60" i="1"/>
  <c r="L57" i="1"/>
  <c r="L56" i="1"/>
  <c r="L55" i="1"/>
  <c r="G54" i="1"/>
  <c r="L53" i="1"/>
  <c r="L51" i="1"/>
  <c r="L50" i="1"/>
  <c r="L49" i="1"/>
  <c r="G48" i="1"/>
  <c r="L47" i="1"/>
  <c r="L45" i="1"/>
  <c r="L44" i="1"/>
  <c r="L43" i="1"/>
  <c r="G42" i="1"/>
  <c r="L41" i="1"/>
  <c r="P30" i="1"/>
  <c r="Q30" i="1"/>
  <c r="P31" i="1"/>
  <c r="Q31" i="1"/>
  <c r="P34" i="1"/>
  <c r="Q34" i="1"/>
  <c r="P35" i="1"/>
  <c r="Q35" i="1"/>
  <c r="Q37" i="1"/>
  <c r="L35" i="1"/>
  <c r="L34" i="1"/>
  <c r="L31" i="1"/>
  <c r="L30" i="1"/>
  <c r="P19" i="1"/>
  <c r="Q19" i="1"/>
  <c r="P20" i="1"/>
  <c r="Q20" i="1"/>
  <c r="P21" i="1"/>
  <c r="Q21" i="1"/>
  <c r="P22" i="1"/>
  <c r="Q22" i="1"/>
  <c r="P23" i="1"/>
  <c r="Q23" i="1"/>
  <c r="P24" i="1"/>
  <c r="Q24" i="1"/>
  <c r="Q26" i="1"/>
  <c r="L24" i="1"/>
  <c r="L23" i="1"/>
  <c r="L22" i="1"/>
  <c r="L21" i="1"/>
  <c r="L20" i="1"/>
  <c r="L19" i="1"/>
  <c r="Q15" i="1"/>
  <c r="Q101" i="1"/>
  <c r="P14" i="1"/>
  <c r="G14" i="1"/>
  <c r="O14" i="1"/>
  <c r="J14" i="1"/>
  <c r="M14" i="1"/>
  <c r="L14" i="1"/>
  <c r="P13" i="1"/>
  <c r="G13" i="1"/>
  <c r="O13" i="1"/>
  <c r="J13" i="1"/>
  <c r="M13" i="1"/>
  <c r="L13" i="1"/>
  <c r="P12" i="1"/>
  <c r="G12" i="1"/>
  <c r="O12" i="1"/>
  <c r="J12" i="1"/>
  <c r="M12" i="1"/>
  <c r="L12" i="1"/>
  <c r="P11" i="1"/>
  <c r="G11" i="1"/>
  <c r="O11" i="1"/>
  <c r="J11" i="1"/>
  <c r="M11" i="1"/>
  <c r="L11" i="1"/>
  <c r="P10" i="1"/>
  <c r="G10" i="1"/>
  <c r="O10" i="1"/>
  <c r="J10" i="1"/>
  <c r="M10" i="1"/>
  <c r="L10" i="1"/>
  <c r="P9" i="1"/>
  <c r="G9" i="1"/>
  <c r="O9" i="1"/>
  <c r="J9" i="1"/>
  <c r="M9" i="1"/>
  <c r="L9" i="1"/>
  <c r="P8" i="1"/>
  <c r="G8" i="1"/>
  <c r="O8" i="1"/>
  <c r="J8" i="1"/>
  <c r="M8" i="1"/>
  <c r="L8" i="1"/>
  <c r="C10" i="4"/>
  <c r="C9" i="4"/>
  <c r="C8" i="4"/>
  <c r="C7" i="4"/>
  <c r="C6" i="4"/>
  <c r="C5" i="4"/>
  <c r="C11" i="4"/>
  <c r="C16" i="4"/>
  <c r="C15" i="4"/>
  <c r="C13" i="4"/>
  <c r="C14" i="4"/>
  <c r="C17" i="4"/>
  <c r="Q102" i="1"/>
  <c r="Q103" i="1"/>
  <c r="Q104" i="1"/>
  <c r="Q105" i="1"/>
  <c r="Q106" i="1"/>
</calcChain>
</file>

<file path=xl/sharedStrings.xml><?xml version="1.0" encoding="utf-8"?>
<sst xmlns="http://schemas.openxmlformats.org/spreadsheetml/2006/main" count="232" uniqueCount="154">
  <si>
    <t>GENERAL SUMMARY</t>
  </si>
  <si>
    <t>DIVISION NO.</t>
  </si>
  <si>
    <t>DESCRIPTION</t>
  </si>
  <si>
    <t>TOTAL DIV. COST</t>
  </si>
  <si>
    <t>General Requirments</t>
  </si>
  <si>
    <t>Framing</t>
  </si>
  <si>
    <t>Flooring</t>
  </si>
  <si>
    <t>Drywall</t>
  </si>
  <si>
    <t>ACT Ceiling</t>
  </si>
  <si>
    <t>Paint</t>
  </si>
  <si>
    <t>TOTAL TRADE COST</t>
  </si>
  <si>
    <t>CONTINGENCY</t>
  </si>
  <si>
    <t>OVERHEAD &amp; PROFIT (15%)</t>
  </si>
  <si>
    <t>TAX (7%)</t>
  </si>
  <si>
    <t>PERFORMANCE AND PAYMENT BONDS</t>
  </si>
  <si>
    <t>TOTAL BASEBID</t>
  </si>
  <si>
    <t>DETAILED BREAKDOWN OF ITEMS</t>
  </si>
  <si>
    <t>Project Name</t>
  </si>
  <si>
    <t>Project Address</t>
  </si>
  <si>
    <t>Scope:</t>
  </si>
  <si>
    <t>METAL FRAMING, DRYWALL, PAINTING INTERIOR AND EXTERIOR, ACOUSTIC CEILING</t>
  </si>
  <si>
    <t>S#</t>
  </si>
  <si>
    <t>Dwg.</t>
  </si>
  <si>
    <t>CSI NO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</si>
  <si>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</si>
  <si>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</si>
  <si>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</si>
  <si>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</si>
  <si>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</si>
  <si>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</si>
  <si>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</si>
  <si>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UNIT LABOR COST</t>
  </si>
  <si>
    <t>TOTAL LABOR COST</t>
  </si>
  <si>
    <t>UNIT MATERIAL  COST</t>
  </si>
  <si>
    <t>TOTAL MATERIAL COST</t>
  </si>
  <si>
    <t>UNIT PRICE (Labor &amp; Material)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</si>
  <si>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</si>
  <si>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</si>
  <si>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</si>
  <si>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</si>
  <si>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</si>
  <si>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</si>
  <si>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</si>
  <si>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</si>
  <si>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</si>
  <si>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</si>
  <si>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SUBTOTAL</t>
  </si>
  <si>
    <t>DIVISION 05-METALS</t>
  </si>
  <si>
    <t>METAL FRAMING</t>
  </si>
  <si>
    <t>3 5/8" 20 GA. Metal Studs</t>
  </si>
  <si>
    <t>LF</t>
  </si>
  <si>
    <t>3 5/8" 20 GA. Top Track</t>
  </si>
  <si>
    <t>3 5/8" 20 GA. Bottom Track</t>
  </si>
  <si>
    <t>6" 20 GA. Metal Studs</t>
  </si>
  <si>
    <t>6" 20 GA. Top Track</t>
  </si>
  <si>
    <t>6" 20 GA. Bottom Track</t>
  </si>
  <si>
    <t>FRAMING SUBTOTAL</t>
  </si>
  <si>
    <t>DIVISION 09- FINISHES</t>
  </si>
  <si>
    <t/>
  </si>
  <si>
    <t>FLOOR FINISH</t>
  </si>
  <si>
    <t>Luxury Vinyl Tile Flooring</t>
  </si>
  <si>
    <t>SF</t>
  </si>
  <si>
    <t>Tile Flooring</t>
  </si>
  <si>
    <t>WALL BASE</t>
  </si>
  <si>
    <t>Wood Base</t>
  </si>
  <si>
    <t>Tile Wall Base</t>
  </si>
  <si>
    <t>FLOORING SUBTOTAL</t>
  </si>
  <si>
    <t>DRYWALL</t>
  </si>
  <si>
    <t>WALLS</t>
  </si>
  <si>
    <t>5/8" Gypsum Board on Wall</t>
  </si>
  <si>
    <t>4x8 No of  Sheets</t>
  </si>
  <si>
    <t>EA</t>
  </si>
  <si>
    <t>Drywall Screws</t>
  </si>
  <si>
    <t>Tape Joints</t>
  </si>
  <si>
    <t>Mudding</t>
  </si>
  <si>
    <t>LBs</t>
  </si>
  <si>
    <t>5/8" Moisture Resistant Gypsum Board on Wall</t>
  </si>
  <si>
    <t>5/8" Cementitious Board on Wall Behind Tiles</t>
  </si>
  <si>
    <t>CEILING</t>
  </si>
  <si>
    <t>5/8" Gypsum Board on Ceiling</t>
  </si>
  <si>
    <t>5/8" Gypsum Board on Ceiling Soffit</t>
  </si>
  <si>
    <t>DRYWALL SUBTOTAL</t>
  </si>
  <si>
    <t>ACT CEILING</t>
  </si>
  <si>
    <t>(2' x 2') Lay-In Acoustical Ceiling Tile</t>
  </si>
  <si>
    <t>ACT SUBTOTAL</t>
  </si>
  <si>
    <t>PAINT</t>
  </si>
  <si>
    <t>WALL PAINT</t>
  </si>
  <si>
    <t>Paint on Gypsum Board Wall</t>
  </si>
  <si>
    <t>CEILING PAINT</t>
  </si>
  <si>
    <t>Paint on Gypsum Board Ceiling</t>
  </si>
  <si>
    <t>Paint on Gypsum Board Ceiling Soffit</t>
  </si>
  <si>
    <t>Paint on Exposed Ceiling</t>
  </si>
  <si>
    <t>DOOR PAINT</t>
  </si>
  <si>
    <t>Paint on Single Leaf Door W/ Frame</t>
  </si>
  <si>
    <t>Paint on Double Leaf Door W/ Frame</t>
  </si>
  <si>
    <t>TRIM PAINT</t>
  </si>
  <si>
    <t>Paint on Door Trim</t>
  </si>
  <si>
    <t>MISC. PAINT</t>
  </si>
  <si>
    <t>Paint on Handrail</t>
  </si>
  <si>
    <t>PAINT SUBTOTAL</t>
  </si>
  <si>
    <t>TOTAL LABOR HOURS</t>
  </si>
  <si>
    <t>TOTAL AMOUNT</t>
  </si>
  <si>
    <t>CONTIGENCIES (5%)</t>
  </si>
  <si>
    <t>Labor Type</t>
  </si>
  <si>
    <t>Labor Rate</t>
  </si>
  <si>
    <t>Drywaller</t>
  </si>
  <si>
    <t>Painting</t>
  </si>
  <si>
    <t>Painter</t>
  </si>
  <si>
    <t>Tile Contractor</t>
  </si>
  <si>
    <t>Tilf</t>
  </si>
  <si>
    <t>Each/Count</t>
  </si>
  <si>
    <t>Linear Footage</t>
  </si>
  <si>
    <t>Square Footage</t>
  </si>
  <si>
    <t>Square Yard</t>
  </si>
  <si>
    <t>SY</t>
  </si>
  <si>
    <t>Cubic Yard</t>
  </si>
  <si>
    <t>CY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</si>
  <si>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</si>
  <si>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</si>
  <si>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</si>
  <si>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</si>
  <si>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</si>
  <si>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</si>
  <si>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</si>
  <si>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</si>
  <si>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</si>
  <si>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</si>
  <si>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</si>
  <si>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</si>
  <si>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LBS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</si>
  <si>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</si>
  <si>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</si>
  <si>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</si>
  <si>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</si>
  <si>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</si>
  <si>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</si>
  <si>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</si>
  <si>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</si>
  <si>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</si>
  <si>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</si>
  <si>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</si>
  <si>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</si>
  <si>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</si>
  <si>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</si>
  <si>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</si>
  <si>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</si>
  <si>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</si>
  <si>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</si>
  <si>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</si>
  <si>
    <t>NOTE:</t>
  </si>
  <si>
    <t>Material pricing is based on current market rates sourced from reputable online platforms and suppliers.</t>
  </si>
  <si>
    <t>Please note that actual costs may vary depending on site-specific conditions, unforeseen circumstances, or changes in market conditions.</t>
  </si>
  <si>
    <t>ABC</t>
  </si>
  <si>
    <t>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</si>
</sst>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(&quot;$&quot;* #,##0_);_(&quot;$&quot;* \(#,##0\);_(&quot;$&quot;* &quot;-&quot;??_);_(@_)"/>
    <numFmt numFmtId="166" formatCode="000000"/>
    <numFmt numFmtId="167" formatCode="0.0000"/>
    <numFmt numFmtId="168" formatCode="0.000"/>
    <numFmt numFmtId="169" formatCode="0.0"/>
    <numFmt numFmtId="170" formatCode="_(&quot;$&quot;* #,##0.0_);_(&quot;$&quot;* \(#,##0.0\);_(&quot;$&quot;* &quot;-&quot;??_);_(@_)"/>
    <numFmt numFmtId="171" formatCode="[$-409]d\-mmm\-yy;@"/>
    <numFmt numFmtId="172" formatCode="_(&quot;$&quot;* #,##0.00_);_(&quot;$&quot;* \(#,##0.00\);_(&quot;$&quot;* &quot;-&quot;??.0_);_(@_)"/>
    <numFmt numFmtId="173" formatCode="0.0%"/>
    <numFmt numFmtId="174" formatCode="_-[$$-409]* #,##0_ ;_-[$$-409]* \-#,##0\ ;_-[$$-409]* &quot;-&quot;??_ ;_-@_ "/>
  </numFmts>
  <fonts count="38">
    <font>
      <sz val="11"/>
      <color theme="1"/>
      <name val="Tw Cen MT"/>
      <charset val="134"/>
      <scheme val="minor"/>
    </font>
    <font>
      <sz val="11"/>
      <color theme="1"/>
      <name val="Calibri"/>
      <charset val="134"/>
    </font>
    <font>
      <b/>
      <sz val="11"/>
      <color theme="1"/>
      <name val="Calibri"/>
      <charset val="134"/>
    </font>
    <font>
      <b/>
      <i/>
      <sz val="11"/>
      <color theme="1"/>
      <name val="Calibri"/>
      <charset val="134"/>
    </font>
    <font>
      <b/>
      <i/>
      <sz val="12"/>
      <color theme="1"/>
      <name val="Calibri"/>
      <charset val="134"/>
    </font>
    <font>
      <b/>
      <sz val="10"/>
      <color rgb="FFFF0000"/>
      <name val="Calibri"/>
      <charset val="134"/>
    </font>
    <font>
      <sz val="10"/>
      <color theme="1"/>
      <name val="Calibri"/>
      <charset val="134"/>
    </font>
    <font>
      <sz val="12"/>
      <color theme="1"/>
      <name val="Calibri"/>
      <charset val="134"/>
    </font>
    <font>
      <sz val="12"/>
      <color indexed="8"/>
      <name val="Calibri"/>
      <charset val="134"/>
    </font>
    <font>
      <sz val="12"/>
      <color rgb="FF000000"/>
      <name val="Calibri"/>
      <charset val="134"/>
    </font>
    <font>
      <b/>
      <sz val="14"/>
      <color theme="0"/>
      <name val="Calibri"/>
      <charset val="134"/>
    </font>
    <font>
      <b/>
      <sz val="14"/>
      <color theme="1"/>
      <name val="Calibri"/>
      <charset val="134"/>
    </font>
    <font>
      <b/>
      <sz val="12"/>
      <color theme="1"/>
      <name val="Calibri"/>
      <charset val="134"/>
    </font>
    <font>
      <sz val="12"/>
      <name val="Calibri"/>
      <charset val="134"/>
    </font>
    <font>
      <b/>
      <sz val="14"/>
      <name val="Calibri"/>
      <charset val="134"/>
    </font>
    <font>
      <b/>
      <sz val="12"/>
      <color rgb="FF009A88"/>
      <name val="Calibri"/>
      <charset val="134"/>
    </font>
    <font>
      <sz val="12"/>
      <color rgb="FFFFFFFF"/>
      <name val="Calibri"/>
      <charset val="134"/>
    </font>
    <font>
      <b/>
      <sz val="12"/>
      <color rgb="FFFFFFFF"/>
      <name val="Calibri"/>
      <charset val="134"/>
    </font>
    <font>
      <sz val="12"/>
      <color indexed="9"/>
      <name val="Calibri"/>
      <charset val="134"/>
    </font>
    <font>
      <b/>
      <sz val="12"/>
      <color indexed="9"/>
      <name val="Calibri"/>
      <charset val="134"/>
    </font>
    <font>
      <b/>
      <sz val="12"/>
      <color indexed="8"/>
      <name val="Calibri"/>
      <charset val="134"/>
    </font>
    <font>
      <b/>
      <sz val="12"/>
      <color rgb="FF000000"/>
      <name val="Calibri"/>
      <charset val="134"/>
    </font>
    <font>
      <sz val="12"/>
      <color rgb="FF0C0C0C"/>
      <name val="Calibri"/>
      <charset val="134"/>
    </font>
    <font>
      <u/>
      <sz val="12"/>
      <color rgb="FFFF0000"/>
      <name val="Calibri"/>
      <charset val="134"/>
    </font>
    <font>
      <b/>
      <sz val="12"/>
      <color rgb="FFFF0000"/>
      <name val="Calibri"/>
      <charset val="134"/>
    </font>
    <font>
      <b/>
      <sz val="12"/>
      <color theme="6"/>
      <name val="Calibri"/>
      <charset val="134"/>
    </font>
    <font>
      <b/>
      <sz val="12"/>
      <name val="Calibri"/>
      <charset val="134"/>
    </font>
    <font>
      <b/>
      <sz val="14"/>
      <color rgb="FFFF0000"/>
      <name val="Calibri"/>
      <charset val="134"/>
    </font>
    <font>
      <b/>
      <sz val="12"/>
      <color rgb="FF0C0C0C"/>
      <name val="Calibri"/>
      <charset val="134"/>
    </font>
    <font>
      <b/>
      <sz val="11"/>
      <color rgb="FF000000"/>
      <name val="Calibri"/>
      <charset val="134"/>
    </font>
    <font>
      <sz val="16"/>
      <color rgb="FFFFFFFF"/>
      <name val="Calibri"/>
      <charset val="134"/>
    </font>
    <font>
      <sz val="14"/>
      <color rgb="FFFFFFFF"/>
      <name val="Calibri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Arial"/>
      <charset val="134"/>
    </font>
    <font>
      <sz val="11"/>
      <color rgb="FF000000"/>
      <name val="Calibri"/>
      <charset val="134"/>
    </font>
    <font>
      <b/>
      <sz val="12"/>
      <color theme="1"/>
      <name val="Tw Cen MT"/>
      <charset val="134"/>
      <scheme val="minor"/>
    </font>
    <font>
      <sz val="11"/>
      <color theme="1"/>
      <name val="Tw Cen MT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96A"/>
        <bgColor indexed="64"/>
      </patternFill>
    </fill>
    <fill>
      <patternFill patternType="solid">
        <fgColor rgb="FF366092"/>
        <bgColor rgb="FF366092"/>
      </patternFill>
    </fill>
    <fill>
      <patternFill patternType="solid">
        <fgColor rgb="FF366092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rgb="FFFFFFCC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4">
    <xf numFmtId="0" fontId="0" fillId="0" borderId="0"/>
    <xf numFmtId="44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7" fillId="17" borderId="44" applyNumberFormat="0" applyFont="0" applyAlignment="0" applyProtection="0"/>
    <xf numFmtId="44" fontId="37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37" fillId="0" borderId="0"/>
    <xf numFmtId="0" fontId="34" fillId="0" borderId="0"/>
    <xf numFmtId="0" fontId="35" fillId="0" borderId="0">
      <protection locked="0"/>
    </xf>
    <xf numFmtId="9" fontId="3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" fontId="36" fillId="2" borderId="15">
      <alignment horizontal="center" vertical="center"/>
    </xf>
  </cellStyleXfs>
  <cellXfs count="257">
    <xf numFmtId="0" fontId="0" fillId="0" borderId="0" xfId="0"/>
    <xf numFmtId="0" fontId="1" fillId="2" borderId="0" xfId="7" applyFont="1" applyFill="1"/>
    <xf numFmtId="0" fontId="2" fillId="2" borderId="0" xfId="7" applyFont="1" applyFill="1"/>
    <xf numFmtId="0" fontId="3" fillId="2" borderId="0" xfId="7" applyFont="1" applyFill="1"/>
    <xf numFmtId="0" fontId="4" fillId="3" borderId="1" xfId="7" applyFont="1" applyFill="1" applyBorder="1" applyAlignment="1">
      <alignment horizontal="center"/>
    </xf>
    <xf numFmtId="0" fontId="4" fillId="3" borderId="2" xfId="7" applyFont="1" applyFill="1" applyBorder="1" applyAlignment="1">
      <alignment horizontal="center"/>
    </xf>
    <xf numFmtId="0" fontId="3" fillId="4" borderId="3" xfId="7" applyFont="1" applyFill="1" applyBorder="1" applyAlignment="1">
      <alignment horizontal="right"/>
    </xf>
    <xf numFmtId="0" fontId="4" fillId="4" borderId="4" xfId="7" applyFont="1" applyFill="1" applyBorder="1"/>
    <xf numFmtId="44" fontId="4" fillId="4" borderId="5" xfId="6" applyFont="1" applyFill="1" applyBorder="1"/>
    <xf numFmtId="0" fontId="3" fillId="4" borderId="6" xfId="7" applyFont="1" applyFill="1" applyBorder="1" applyAlignment="1">
      <alignment horizontal="right"/>
    </xf>
    <xf numFmtId="0" fontId="4" fillId="4" borderId="0" xfId="7" applyFont="1" applyFill="1"/>
    <xf numFmtId="44" fontId="4" fillId="4" borderId="7" xfId="6" applyFont="1" applyFill="1" applyBorder="1"/>
    <xf numFmtId="0" fontId="1" fillId="0" borderId="0" xfId="7" applyFont="1"/>
    <xf numFmtId="0" fontId="3" fillId="4" borderId="8" xfId="7" applyFont="1" applyFill="1" applyBorder="1" applyAlignment="1">
      <alignment horizontal="right"/>
    </xf>
    <xf numFmtId="0" fontId="4" fillId="4" borderId="9" xfId="7" applyFont="1" applyFill="1" applyBorder="1"/>
    <xf numFmtId="165" fontId="4" fillId="4" borderId="10" xfId="6" applyNumberFormat="1" applyFont="1" applyFill="1" applyBorder="1"/>
    <xf numFmtId="0" fontId="4" fillId="5" borderId="3" xfId="7" applyFont="1" applyFill="1" applyBorder="1" applyAlignment="1">
      <alignment horizontal="right"/>
    </xf>
    <xf numFmtId="0" fontId="4" fillId="5" borderId="4" xfId="7" applyFont="1" applyFill="1" applyBorder="1"/>
    <xf numFmtId="9" fontId="4" fillId="5" borderId="5" xfId="11" applyFont="1" applyFill="1" applyBorder="1"/>
    <xf numFmtId="0" fontId="4" fillId="5" borderId="6" xfId="7" applyFont="1" applyFill="1" applyBorder="1"/>
    <xf numFmtId="0" fontId="4" fillId="5" borderId="0" xfId="7" applyFont="1" applyFill="1"/>
    <xf numFmtId="9" fontId="4" fillId="5" borderId="7" xfId="11" applyFont="1" applyFill="1" applyBorder="1"/>
    <xf numFmtId="0" fontId="4" fillId="5" borderId="8" xfId="7" applyFont="1" applyFill="1" applyBorder="1"/>
    <xf numFmtId="0" fontId="4" fillId="5" borderId="9" xfId="7" applyFont="1" applyFill="1" applyBorder="1"/>
    <xf numFmtId="9" fontId="4" fillId="5" borderId="10" xfId="11" applyFont="1" applyFill="1" applyBorder="1"/>
    <xf numFmtId="0" fontId="5" fillId="2" borderId="0" xfId="7" applyFont="1" applyFill="1"/>
    <xf numFmtId="0" fontId="6" fillId="2" borderId="0" xfId="7" applyFont="1" applyFill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3" fontId="15" fillId="2" borderId="0" xfId="0" applyNumberFormat="1" applyFont="1" applyFill="1" applyAlignment="1">
      <alignment horizontal="left" vertical="center" wrapText="1"/>
    </xf>
    <xf numFmtId="166" fontId="16" fillId="8" borderId="12" xfId="0" applyNumberFormat="1" applyFont="1" applyFill="1" applyBorder="1" applyAlignment="1">
      <alignment horizontal="center" vertical="center" wrapText="1"/>
    </xf>
    <xf numFmtId="166" fontId="16" fillId="8" borderId="13" xfId="0" applyNumberFormat="1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166" fontId="18" fillId="9" borderId="14" xfId="0" applyNumberFormat="1" applyFont="1" applyFill="1" applyBorder="1" applyAlignment="1">
      <alignment horizontal="center" vertical="center" wrapText="1"/>
    </xf>
    <xf numFmtId="166" fontId="18" fillId="9" borderId="15" xfId="0" applyNumberFormat="1" applyFont="1" applyFill="1" applyBorder="1" applyAlignment="1">
      <alignment horizontal="center" vertical="center" wrapText="1"/>
    </xf>
    <xf numFmtId="166" fontId="16" fillId="8" borderId="15" xfId="0" applyNumberFormat="1" applyFont="1" applyFill="1" applyBorder="1" applyAlignment="1">
      <alignment horizontal="center" vertical="center" wrapText="1"/>
    </xf>
    <xf numFmtId="0" fontId="19" fillId="9" borderId="15" xfId="0" applyFont="1" applyFill="1" applyBorder="1" applyAlignment="1">
      <alignment horizontal="left" vertical="center" wrapText="1"/>
    </xf>
    <xf numFmtId="1" fontId="13" fillId="2" borderId="12" xfId="3" applyNumberFormat="1" applyFont="1" applyFill="1" applyBorder="1" applyAlignment="1">
      <alignment horizontal="center" vertical="center"/>
    </xf>
    <xf numFmtId="1" fontId="13" fillId="2" borderId="16" xfId="3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9" fontId="7" fillId="0" borderId="13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1" fontId="13" fillId="2" borderId="14" xfId="3" applyNumberFormat="1" applyFont="1" applyFill="1" applyBorder="1" applyAlignment="1">
      <alignment horizontal="center" vertical="center"/>
    </xf>
    <xf numFmtId="1" fontId="13" fillId="2" borderId="17" xfId="3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9" fontId="7" fillId="0" borderId="18" xfId="0" applyNumberFormat="1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20" fillId="0" borderId="20" xfId="0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7" fillId="8" borderId="15" xfId="0" applyFont="1" applyFill="1" applyBorder="1" applyAlignment="1">
      <alignment horizontal="left" vertical="center" wrapText="1"/>
    </xf>
    <xf numFmtId="1" fontId="13" fillId="2" borderId="22" xfId="3" applyNumberFormat="1" applyFont="1" applyFill="1" applyBorder="1" applyAlignment="1">
      <alignment horizontal="center" vertical="center"/>
    </xf>
    <xf numFmtId="1" fontId="13" fillId="2" borderId="15" xfId="3" applyNumberFormat="1" applyFont="1" applyFill="1" applyBorder="1" applyAlignment="1">
      <alignment vertical="center"/>
    </xf>
    <xf numFmtId="0" fontId="21" fillId="10" borderId="15" xfId="9" applyFont="1" applyFill="1" applyBorder="1" applyAlignment="1" applyProtection="1">
      <alignment horizontal="center"/>
    </xf>
    <xf numFmtId="9" fontId="22" fillId="0" borderId="15" xfId="0" applyNumberFormat="1" applyFont="1" applyBorder="1" applyAlignment="1">
      <alignment horizontal="center" vertical="center"/>
    </xf>
    <xf numFmtId="1" fontId="22" fillId="0" borderId="15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7" fillId="2" borderId="6" xfId="3" applyFont="1" applyFill="1" applyBorder="1" applyAlignment="1">
      <alignment horizontal="left" vertical="center" wrapText="1"/>
    </xf>
    <xf numFmtId="0" fontId="7" fillId="2" borderId="0" xfId="3" applyFont="1" applyFill="1" applyBorder="1" applyAlignment="1">
      <alignment horizontal="left" vertical="center" wrapText="1"/>
    </xf>
    <xf numFmtId="1" fontId="7" fillId="0" borderId="0" xfId="0" applyNumberFormat="1" applyFont="1" applyAlignment="1">
      <alignment horizontal="center" vertical="center"/>
    </xf>
    <xf numFmtId="9" fontId="13" fillId="2" borderId="0" xfId="2" applyFont="1" applyFill="1" applyBorder="1" applyAlignment="1">
      <alignment horizontal="center" vertical="center"/>
    </xf>
    <xf numFmtId="0" fontId="13" fillId="2" borderId="0" xfId="3" applyFont="1" applyFill="1" applyBorder="1" applyAlignment="1">
      <alignment horizontal="center" vertical="center"/>
    </xf>
    <xf numFmtId="166" fontId="16" fillId="8" borderId="14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vertical="center" wrapText="1"/>
    </xf>
    <xf numFmtId="0" fontId="9" fillId="0" borderId="15" xfId="9" applyFont="1" applyBorder="1" applyProtection="1"/>
    <xf numFmtId="0" fontId="24" fillId="11" borderId="15" xfId="9" applyFont="1" applyFill="1" applyBorder="1" applyAlignment="1" applyProtection="1">
      <alignment horizontal="center"/>
    </xf>
    <xf numFmtId="0" fontId="9" fillId="0" borderId="15" xfId="0" applyFont="1" applyBorder="1"/>
    <xf numFmtId="1" fontId="9" fillId="0" borderId="15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right"/>
    </xf>
    <xf numFmtId="0" fontId="9" fillId="0" borderId="15" xfId="0" applyFont="1" applyBorder="1" applyAlignment="1">
      <alignment horizontal="left" vertical="center" wrapText="1"/>
    </xf>
    <xf numFmtId="167" fontId="7" fillId="0" borderId="15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6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left" vertical="center"/>
    </xf>
    <xf numFmtId="168" fontId="9" fillId="0" borderId="15" xfId="0" applyNumberFormat="1" applyFont="1" applyBorder="1" applyAlignment="1">
      <alignment horizontal="center" vertical="center"/>
    </xf>
    <xf numFmtId="169" fontId="9" fillId="0" borderId="15" xfId="0" applyNumberFormat="1" applyFont="1" applyBorder="1" applyAlignment="1">
      <alignment horizontal="center" vertical="center"/>
    </xf>
    <xf numFmtId="44" fontId="7" fillId="0" borderId="15" xfId="1" applyFont="1" applyBorder="1" applyAlignment="1" applyProtection="1">
      <alignment horizontal="center" vertical="center"/>
    </xf>
    <xf numFmtId="170" fontId="7" fillId="0" borderId="15" xfId="0" applyNumberFormat="1" applyFont="1" applyBorder="1" applyAlignment="1">
      <alignment horizontal="left" vertical="center"/>
    </xf>
    <xf numFmtId="168" fontId="9" fillId="0" borderId="18" xfId="0" applyNumberFormat="1" applyFont="1" applyBorder="1" applyAlignment="1">
      <alignment horizontal="center" vertical="center"/>
    </xf>
    <xf numFmtId="169" fontId="9" fillId="0" borderId="18" xfId="0" applyNumberFormat="1" applyFont="1" applyBorder="1" applyAlignment="1">
      <alignment horizontal="center" vertical="center"/>
    </xf>
    <xf numFmtId="44" fontId="7" fillId="0" borderId="18" xfId="1" applyFont="1" applyBorder="1" applyAlignment="1" applyProtection="1">
      <alignment horizontal="center" vertical="center"/>
    </xf>
    <xf numFmtId="170" fontId="7" fillId="0" borderId="18" xfId="0" applyNumberFormat="1" applyFont="1" applyBorder="1" applyAlignment="1">
      <alignment horizontal="left" vertical="center"/>
    </xf>
    <xf numFmtId="44" fontId="12" fillId="0" borderId="21" xfId="1" applyFont="1" applyFill="1" applyBorder="1" applyAlignment="1">
      <alignment horizontal="right" vertical="center"/>
    </xf>
    <xf numFmtId="168" fontId="8" fillId="0" borderId="15" xfId="0" applyNumberFormat="1" applyFont="1" applyBorder="1" applyAlignment="1">
      <alignment horizontal="center" vertical="center"/>
    </xf>
    <xf numFmtId="170" fontId="8" fillId="0" borderId="15" xfId="0" applyNumberFormat="1" applyFont="1" applyBorder="1" applyAlignment="1">
      <alignment horizontal="left" vertical="center"/>
    </xf>
    <xf numFmtId="0" fontId="20" fillId="0" borderId="21" xfId="0" applyFont="1" applyBorder="1" applyAlignment="1">
      <alignment vertical="center"/>
    </xf>
    <xf numFmtId="165" fontId="20" fillId="0" borderId="21" xfId="0" applyNumberFormat="1" applyFont="1" applyBorder="1" applyAlignment="1">
      <alignment horizontal="center" vertical="center"/>
    </xf>
    <xf numFmtId="170" fontId="20" fillId="0" borderId="21" xfId="0" applyNumberFormat="1" applyFont="1" applyBorder="1" applyAlignment="1">
      <alignment vertical="center"/>
    </xf>
    <xf numFmtId="168" fontId="7" fillId="0" borderId="0" xfId="0" applyNumberFormat="1" applyFont="1" applyAlignment="1">
      <alignment horizontal="center" vertical="center"/>
    </xf>
    <xf numFmtId="44" fontId="13" fillId="2" borderId="0" xfId="1" applyFont="1" applyFill="1" applyBorder="1" applyAlignment="1" applyProtection="1">
      <alignment horizontal="center" vertical="center"/>
    </xf>
    <xf numFmtId="44" fontId="8" fillId="0" borderId="15" xfId="0" applyNumberFormat="1" applyFont="1" applyBorder="1" applyAlignment="1">
      <alignment horizontal="left" vertical="center"/>
    </xf>
    <xf numFmtId="171" fontId="14" fillId="2" borderId="7" xfId="0" applyNumberFormat="1" applyFont="1" applyFill="1" applyBorder="1" applyAlignment="1">
      <alignment horizontal="center" vertical="center" wrapText="1"/>
    </xf>
    <xf numFmtId="166" fontId="16" fillId="8" borderId="25" xfId="0" applyNumberFormat="1" applyFont="1" applyFill="1" applyBorder="1" applyAlignment="1">
      <alignment horizontal="center" vertical="center" wrapText="1"/>
    </xf>
    <xf numFmtId="166" fontId="18" fillId="9" borderId="26" xfId="0" applyNumberFormat="1" applyFont="1" applyFill="1" applyBorder="1" applyAlignment="1">
      <alignment horizontal="center" vertical="center" wrapText="1"/>
    </xf>
    <xf numFmtId="44" fontId="7" fillId="2" borderId="0" xfId="0" applyNumberFormat="1" applyFont="1" applyFill="1" applyAlignment="1">
      <alignment vertical="center"/>
    </xf>
    <xf numFmtId="165" fontId="20" fillId="12" borderId="30" xfId="0" applyNumberFormat="1" applyFont="1" applyFill="1" applyBorder="1" applyAlignment="1">
      <alignment horizontal="center" vertical="center"/>
    </xf>
    <xf numFmtId="44" fontId="7" fillId="0" borderId="0" xfId="0" applyNumberFormat="1" applyFont="1" applyAlignment="1">
      <alignment vertical="center"/>
    </xf>
    <xf numFmtId="0" fontId="12" fillId="0" borderId="31" xfId="0" applyFont="1" applyBorder="1" applyAlignment="1">
      <alignment vertical="center"/>
    </xf>
    <xf numFmtId="165" fontId="18" fillId="9" borderId="2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65" fontId="7" fillId="0" borderId="25" xfId="0" applyNumberFormat="1" applyFont="1" applyBorder="1" applyAlignment="1">
      <alignment horizontal="center" vertical="center" wrapText="1"/>
    </xf>
    <xf numFmtId="165" fontId="7" fillId="0" borderId="7" xfId="0" applyNumberFormat="1" applyFont="1" applyBorder="1" applyAlignment="1">
      <alignment horizontal="center" vertical="center" wrapText="1"/>
    </xf>
    <xf numFmtId="165" fontId="16" fillId="8" borderId="2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165" fontId="7" fillId="0" borderId="26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165" fontId="7" fillId="0" borderId="25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horizontal="right"/>
    </xf>
    <xf numFmtId="1" fontId="9" fillId="0" borderId="33" xfId="0" applyNumberFormat="1" applyFont="1" applyBorder="1" applyAlignment="1">
      <alignment horizontal="center" vertical="center"/>
    </xf>
    <xf numFmtId="9" fontId="7" fillId="0" borderId="33" xfId="0" applyNumberFormat="1" applyFont="1" applyBorder="1" applyAlignment="1">
      <alignment horizontal="center" vertical="center"/>
    </xf>
    <xf numFmtId="1" fontId="22" fillId="0" borderId="33" xfId="0" applyNumberFormat="1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1" fontId="8" fillId="0" borderId="15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9" fontId="22" fillId="0" borderId="18" xfId="0" applyNumberFormat="1" applyFont="1" applyBorder="1" applyAlignment="1">
      <alignment horizontal="center" vertical="center"/>
    </xf>
    <xf numFmtId="1" fontId="22" fillId="0" borderId="18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1" fontId="22" fillId="0" borderId="21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21" fillId="14" borderId="14" xfId="0" applyFont="1" applyFill="1" applyBorder="1" applyAlignment="1">
      <alignment horizontal="left" vertical="center"/>
    </xf>
    <xf numFmtId="0" fontId="9" fillId="14" borderId="15" xfId="0" applyFont="1" applyFill="1" applyBorder="1" applyAlignment="1">
      <alignment horizontal="center" vertical="center"/>
    </xf>
    <xf numFmtId="0" fontId="21" fillId="14" borderId="15" xfId="0" applyFont="1" applyFill="1" applyBorder="1" applyAlignment="1">
      <alignment horizontal="center" vertical="center"/>
    </xf>
    <xf numFmtId="0" fontId="21" fillId="14" borderId="15" xfId="0" applyFont="1" applyFill="1" applyBorder="1" applyAlignment="1">
      <alignment horizontal="left" vertical="center" wrapText="1"/>
    </xf>
    <xf numFmtId="0" fontId="28" fillId="14" borderId="15" xfId="0" applyFont="1" applyFill="1" applyBorder="1" applyAlignment="1">
      <alignment horizontal="center" vertical="center"/>
    </xf>
    <xf numFmtId="1" fontId="28" fillId="14" borderId="15" xfId="0" applyNumberFormat="1" applyFont="1" applyFill="1" applyBorder="1" applyAlignment="1">
      <alignment horizontal="center" vertical="center"/>
    </xf>
    <xf numFmtId="0" fontId="21" fillId="14" borderId="15" xfId="0" applyFont="1" applyFill="1" applyBorder="1" applyAlignment="1">
      <alignment horizontal="center"/>
    </xf>
    <xf numFmtId="0" fontId="21" fillId="14" borderId="15" xfId="0" applyFont="1" applyFill="1" applyBorder="1" applyAlignment="1">
      <alignment horizontal="left"/>
    </xf>
    <xf numFmtId="1" fontId="21" fillId="14" borderId="15" xfId="0" applyNumberFormat="1" applyFont="1" applyFill="1" applyBorder="1" applyAlignment="1">
      <alignment horizontal="center" vertical="center"/>
    </xf>
    <xf numFmtId="0" fontId="21" fillId="15" borderId="14" xfId="0" applyFont="1" applyFill="1" applyBorder="1" applyAlignment="1">
      <alignment horizontal="left" vertical="center"/>
    </xf>
    <xf numFmtId="0" fontId="9" fillId="15" borderId="15" xfId="0" applyFont="1" applyFill="1" applyBorder="1" applyAlignment="1">
      <alignment horizontal="center" vertical="center"/>
    </xf>
    <xf numFmtId="0" fontId="21" fillId="15" borderId="15" xfId="0" applyFont="1" applyFill="1" applyBorder="1" applyAlignment="1">
      <alignment horizontal="center"/>
    </xf>
    <xf numFmtId="0" fontId="21" fillId="15" borderId="15" xfId="0" applyFont="1" applyFill="1" applyBorder="1" applyAlignment="1">
      <alignment horizontal="left"/>
    </xf>
    <xf numFmtId="1" fontId="21" fillId="15" borderId="15" xfId="0" applyNumberFormat="1" applyFont="1" applyFill="1" applyBorder="1" applyAlignment="1">
      <alignment horizontal="center" vertical="center"/>
    </xf>
    <xf numFmtId="0" fontId="21" fillId="15" borderId="15" xfId="0" applyFont="1" applyFill="1" applyBorder="1" applyAlignment="1">
      <alignment horizontal="center" vertical="center"/>
    </xf>
    <xf numFmtId="0" fontId="21" fillId="16" borderId="14" xfId="0" applyFont="1" applyFill="1" applyBorder="1" applyAlignment="1">
      <alignment horizontal="left" vertical="center"/>
    </xf>
    <xf numFmtId="0" fontId="9" fillId="16" borderId="15" xfId="0" applyFont="1" applyFill="1" applyBorder="1" applyAlignment="1">
      <alignment horizontal="center" vertical="center"/>
    </xf>
    <xf numFmtId="0" fontId="21" fillId="16" borderId="15" xfId="0" applyFont="1" applyFill="1" applyBorder="1" applyAlignment="1">
      <alignment horizontal="center"/>
    </xf>
    <xf numFmtId="0" fontId="21" fillId="16" borderId="15" xfId="0" applyFont="1" applyFill="1" applyBorder="1" applyAlignment="1">
      <alignment horizontal="left"/>
    </xf>
    <xf numFmtId="1" fontId="21" fillId="16" borderId="15" xfId="0" applyNumberFormat="1" applyFont="1" applyFill="1" applyBorder="1" applyAlignment="1">
      <alignment horizontal="center" vertical="center"/>
    </xf>
    <xf numFmtId="0" fontId="21" fillId="16" borderId="15" xfId="0" applyFont="1" applyFill="1" applyBorder="1" applyAlignment="1">
      <alignment horizontal="center" vertical="center"/>
    </xf>
    <xf numFmtId="0" fontId="21" fillId="16" borderId="35" xfId="0" applyFont="1" applyFill="1" applyBorder="1" applyAlignment="1">
      <alignment horizontal="left" vertical="center"/>
    </xf>
    <xf numFmtId="0" fontId="9" fillId="16" borderId="36" xfId="0" applyFont="1" applyFill="1" applyBorder="1" applyAlignment="1">
      <alignment horizontal="center" vertical="center"/>
    </xf>
    <xf numFmtId="166" fontId="21" fillId="16" borderId="36" xfId="0" applyNumberFormat="1" applyFont="1" applyFill="1" applyBorder="1" applyAlignment="1">
      <alignment horizontal="center" vertical="center"/>
    </xf>
    <xf numFmtId="0" fontId="21" fillId="16" borderId="36" xfId="0" applyFont="1" applyFill="1" applyBorder="1" applyAlignment="1">
      <alignment horizontal="left" vertical="center" wrapText="1"/>
    </xf>
    <xf numFmtId="0" fontId="28" fillId="16" borderId="36" xfId="0" applyFont="1" applyFill="1" applyBorder="1" applyAlignment="1">
      <alignment horizontal="center" vertical="center"/>
    </xf>
    <xf numFmtId="1" fontId="28" fillId="16" borderId="36" xfId="0" applyNumberFormat="1" applyFont="1" applyFill="1" applyBorder="1" applyAlignment="1">
      <alignment horizontal="center" vertical="center"/>
    </xf>
    <xf numFmtId="172" fontId="8" fillId="0" borderId="15" xfId="0" applyNumberFormat="1" applyFont="1" applyBorder="1" applyAlignment="1">
      <alignment horizontal="left" vertical="center"/>
    </xf>
    <xf numFmtId="168" fontId="9" fillId="0" borderId="33" xfId="0" applyNumberFormat="1" applyFont="1" applyBorder="1" applyAlignment="1">
      <alignment horizontal="center" vertical="center"/>
    </xf>
    <xf numFmtId="169" fontId="9" fillId="0" borderId="33" xfId="0" applyNumberFormat="1" applyFont="1" applyBorder="1" applyAlignment="1">
      <alignment horizontal="center" vertical="center"/>
    </xf>
    <xf numFmtId="44" fontId="7" fillId="0" borderId="33" xfId="1" applyFont="1" applyBorder="1" applyAlignment="1" applyProtection="1">
      <alignment horizontal="center" vertical="center"/>
    </xf>
    <xf numFmtId="170" fontId="7" fillId="0" borderId="33" xfId="0" applyNumberFormat="1" applyFont="1" applyBorder="1" applyAlignment="1">
      <alignment horizontal="left" vertical="center"/>
    </xf>
    <xf numFmtId="165" fontId="28" fillId="0" borderId="21" xfId="0" applyNumberFormat="1" applyFont="1" applyBorder="1" applyAlignment="1">
      <alignment horizontal="center" vertical="center"/>
    </xf>
    <xf numFmtId="170" fontId="22" fillId="0" borderId="21" xfId="0" applyNumberFormat="1" applyFont="1" applyBorder="1" applyAlignment="1">
      <alignment horizontal="center" vertical="center"/>
    </xf>
    <xf numFmtId="1" fontId="26" fillId="13" borderId="15" xfId="0" applyNumberFormat="1" applyFont="1" applyFill="1" applyBorder="1" applyAlignment="1">
      <alignment horizontal="center" vertical="center" wrapText="1"/>
    </xf>
    <xf numFmtId="165" fontId="26" fillId="4" borderId="15" xfId="0" applyNumberFormat="1" applyFont="1" applyFill="1" applyBorder="1" applyAlignment="1">
      <alignment horizontal="center" vertical="center"/>
    </xf>
    <xf numFmtId="0" fontId="26" fillId="5" borderId="15" xfId="0" applyFont="1" applyFill="1" applyBorder="1" applyAlignment="1">
      <alignment horizontal="center" vertical="center" wrapText="1"/>
    </xf>
    <xf numFmtId="165" fontId="26" fillId="5" borderId="15" xfId="0" applyNumberFormat="1" applyFont="1" applyFill="1" applyBorder="1" applyAlignment="1">
      <alignment horizontal="center" vertical="center"/>
    </xf>
    <xf numFmtId="44" fontId="28" fillId="14" borderId="15" xfId="0" applyNumberFormat="1" applyFont="1" applyFill="1" applyBorder="1" applyAlignment="1">
      <alignment horizontal="left" vertical="center"/>
    </xf>
    <xf numFmtId="9" fontId="21" fillId="14" borderId="15" xfId="0" applyNumberFormat="1" applyFont="1" applyFill="1" applyBorder="1" applyAlignment="1">
      <alignment horizontal="left" vertical="center"/>
    </xf>
    <xf numFmtId="9" fontId="21" fillId="15" borderId="15" xfId="0" applyNumberFormat="1" applyFont="1" applyFill="1" applyBorder="1" applyAlignment="1">
      <alignment horizontal="left" vertical="center"/>
    </xf>
    <xf numFmtId="173" fontId="21" fillId="16" borderId="15" xfId="0" applyNumberFormat="1" applyFont="1" applyFill="1" applyBorder="1" applyAlignment="1">
      <alignment horizontal="left" vertical="center"/>
    </xf>
    <xf numFmtId="44" fontId="28" fillId="16" borderId="36" xfId="0" applyNumberFormat="1" applyFont="1" applyFill="1" applyBorder="1" applyAlignment="1">
      <alignment horizontal="left" vertical="center"/>
    </xf>
    <xf numFmtId="165" fontId="7" fillId="0" borderId="28" xfId="0" applyNumberFormat="1" applyFont="1" applyBorder="1" applyAlignment="1">
      <alignment horizontal="center" vertical="center" wrapText="1"/>
    </xf>
    <xf numFmtId="165" fontId="7" fillId="0" borderId="26" xfId="0" applyNumberFormat="1" applyFont="1" applyBorder="1" applyAlignment="1">
      <alignment horizontal="center" vertical="center" wrapText="1"/>
    </xf>
    <xf numFmtId="165" fontId="7" fillId="0" borderId="27" xfId="0" applyNumberFormat="1" applyFont="1" applyBorder="1" applyAlignment="1">
      <alignment horizontal="center" vertical="center"/>
    </xf>
    <xf numFmtId="165" fontId="28" fillId="14" borderId="30" xfId="0" applyNumberFormat="1" applyFont="1" applyFill="1" applyBorder="1" applyAlignment="1">
      <alignment horizontal="center" vertical="center"/>
    </xf>
    <xf numFmtId="165" fontId="13" fillId="0" borderId="31" xfId="0" applyNumberFormat="1" applyFont="1" applyBorder="1" applyAlignment="1">
      <alignment vertical="center"/>
    </xf>
    <xf numFmtId="170" fontId="7" fillId="0" borderId="26" xfId="0" applyNumberFormat="1" applyFont="1" applyBorder="1" applyAlignment="1">
      <alignment horizontal="center" vertical="center"/>
    </xf>
    <xf numFmtId="165" fontId="29" fillId="14" borderId="26" xfId="0" applyNumberFormat="1" applyFont="1" applyFill="1" applyBorder="1" applyAlignment="1">
      <alignment horizontal="left" vertical="center"/>
    </xf>
    <xf numFmtId="164" fontId="9" fillId="0" borderId="0" xfId="0" applyNumberFormat="1" applyFont="1"/>
    <xf numFmtId="0" fontId="21" fillId="0" borderId="0" xfId="0" applyFont="1"/>
    <xf numFmtId="165" fontId="29" fillId="15" borderId="26" xfId="0" applyNumberFormat="1" applyFont="1" applyFill="1" applyBorder="1" applyAlignment="1">
      <alignment horizontal="left" vertical="center"/>
    </xf>
    <xf numFmtId="165" fontId="29" fillId="16" borderId="26" xfId="0" applyNumberFormat="1" applyFont="1" applyFill="1" applyBorder="1" applyAlignment="1">
      <alignment horizontal="left" vertical="center"/>
    </xf>
    <xf numFmtId="165" fontId="29" fillId="16" borderId="37" xfId="0" applyNumberFormat="1" applyFont="1" applyFill="1" applyBorder="1" applyAlignment="1">
      <alignment horizontal="left" vertical="center"/>
    </xf>
    <xf numFmtId="0" fontId="0" fillId="2" borderId="0" xfId="0" applyFill="1"/>
    <xf numFmtId="165" fontId="0" fillId="2" borderId="0" xfId="0" applyNumberFormat="1" applyFill="1"/>
    <xf numFmtId="166" fontId="31" fillId="8" borderId="15" xfId="0" applyNumberFormat="1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65" fontId="7" fillId="0" borderId="25" xfId="0" applyNumberFormat="1" applyFont="1" applyBorder="1"/>
    <xf numFmtId="0" fontId="26" fillId="0" borderId="41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65" fontId="7" fillId="0" borderId="28" xfId="0" applyNumberFormat="1" applyFont="1" applyBorder="1"/>
    <xf numFmtId="165" fontId="32" fillId="0" borderId="42" xfId="4" applyNumberFormat="1" applyFont="1" applyFill="1" applyBorder="1" applyAlignment="1">
      <alignment vertical="center"/>
    </xf>
    <xf numFmtId="44" fontId="0" fillId="2" borderId="0" xfId="0" applyNumberFormat="1" applyFill="1"/>
    <xf numFmtId="9" fontId="21" fillId="14" borderId="14" xfId="12" applyFont="1" applyFill="1" applyBorder="1" applyAlignment="1">
      <alignment horizontal="center" vertical="center"/>
    </xf>
    <xf numFmtId="174" fontId="21" fillId="14" borderId="14" xfId="0" applyNumberFormat="1" applyFont="1" applyFill="1" applyBorder="1" applyAlignment="1">
      <alignment horizontal="left" vertical="center"/>
    </xf>
    <xf numFmtId="173" fontId="21" fillId="15" borderId="14" xfId="12" applyNumberFormat="1" applyFont="1" applyFill="1" applyBorder="1" applyAlignment="1">
      <alignment horizontal="center" vertical="center"/>
    </xf>
    <xf numFmtId="174" fontId="21" fillId="15" borderId="14" xfId="0" applyNumberFormat="1" applyFont="1" applyFill="1" applyBorder="1" applyAlignment="1">
      <alignment horizontal="left" vertical="center"/>
    </xf>
    <xf numFmtId="173" fontId="21" fillId="16" borderId="14" xfId="12" applyNumberFormat="1" applyFont="1" applyFill="1" applyBorder="1" applyAlignment="1">
      <alignment horizontal="center" vertical="center"/>
    </xf>
    <xf numFmtId="174" fontId="21" fillId="16" borderId="14" xfId="0" applyNumberFormat="1" applyFont="1" applyFill="1" applyBorder="1" applyAlignment="1">
      <alignment horizontal="left" vertical="center"/>
    </xf>
    <xf numFmtId="164" fontId="0" fillId="2" borderId="9" xfId="0" applyNumberFormat="1" applyFill="1" applyBorder="1"/>
    <xf numFmtId="0" fontId="0" fillId="2" borderId="9" xfId="0" applyFill="1" applyBorder="1"/>
    <xf numFmtId="0" fontId="0" fillId="2" borderId="7" xfId="0" applyFill="1" applyBorder="1"/>
    <xf numFmtId="0" fontId="0" fillId="2" borderId="10" xfId="0" applyFill="1" applyBorder="1"/>
    <xf numFmtId="166" fontId="30" fillId="8" borderId="34" xfId="0" applyNumberFormat="1" applyFont="1" applyFill="1" applyBorder="1" applyAlignment="1">
      <alignment horizontal="center" vertical="center" wrapText="1"/>
    </xf>
    <xf numFmtId="166" fontId="30" fillId="8" borderId="24" xfId="0" applyNumberFormat="1" applyFont="1" applyFill="1" applyBorder="1" applyAlignment="1">
      <alignment horizontal="center" vertical="center" wrapText="1"/>
    </xf>
    <xf numFmtId="166" fontId="30" fillId="8" borderId="16" xfId="0" applyNumberFormat="1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/>
    </xf>
    <xf numFmtId="49" fontId="33" fillId="0" borderId="42" xfId="0" applyNumberFormat="1" applyFont="1" applyBorder="1" applyAlignment="1">
      <alignment horizontal="center" vertical="center"/>
    </xf>
    <xf numFmtId="0" fontId="21" fillId="14" borderId="38" xfId="0" applyFont="1" applyFill="1" applyBorder="1" applyAlignment="1">
      <alignment horizontal="center" vertical="center"/>
    </xf>
    <xf numFmtId="0" fontId="21" fillId="14" borderId="39" xfId="0" applyFont="1" applyFill="1" applyBorder="1" applyAlignment="1">
      <alignment horizontal="center" vertical="center"/>
    </xf>
    <xf numFmtId="0" fontId="21" fillId="14" borderId="43" xfId="0" applyFont="1" applyFill="1" applyBorder="1" applyAlignment="1">
      <alignment horizontal="center" vertical="center"/>
    </xf>
    <xf numFmtId="0" fontId="21" fillId="14" borderId="40" xfId="0" applyFont="1" applyFill="1" applyBorder="1" applyAlignment="1">
      <alignment horizontal="center" vertical="center"/>
    </xf>
    <xf numFmtId="0" fontId="21" fillId="14" borderId="24" xfId="0" applyFont="1" applyFill="1" applyBorder="1" applyAlignment="1">
      <alignment horizontal="center" vertical="center"/>
    </xf>
    <xf numFmtId="0" fontId="21" fillId="14" borderId="16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wrapText="1"/>
    </xf>
    <xf numFmtId="3" fontId="11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left" vertical="center"/>
    </xf>
    <xf numFmtId="0" fontId="26" fillId="13" borderId="15" xfId="0" applyFont="1" applyFill="1" applyBorder="1" applyAlignment="1">
      <alignment horizontal="center" vertical="center"/>
    </xf>
    <xf numFmtId="0" fontId="26" fillId="4" borderId="15" xfId="0" applyFont="1" applyFill="1" applyBorder="1" applyAlignment="1">
      <alignment horizontal="center" vertical="center" wrapText="1"/>
    </xf>
    <xf numFmtId="44" fontId="7" fillId="0" borderId="27" xfId="0" applyNumberFormat="1" applyFont="1" applyBorder="1" applyAlignment="1">
      <alignment horizontal="center" vertical="center" wrapText="1"/>
    </xf>
    <xf numFmtId="44" fontId="7" fillId="0" borderId="28" xfId="0" applyNumberFormat="1" applyFont="1" applyBorder="1" applyAlignment="1">
      <alignment horizontal="center" vertical="center" wrapText="1"/>
    </xf>
    <xf numFmtId="44" fontId="7" fillId="0" borderId="29" xfId="0" applyNumberFormat="1" applyFont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/>
    </xf>
    <xf numFmtId="0" fontId="4" fillId="3" borderId="5" xfId="7" applyFont="1" applyFill="1" applyBorder="1" applyAlignment="1">
      <alignment horizontal="center"/>
    </xf>
  </cellXfs>
  <cellStyles count="14">
    <cellStyle name="Currency" xfId="1" builtinId="4"/>
    <cellStyle name="Currency 2" xfId="4" xr:uid="{00000000-0005-0000-0000-000031000000}"/>
    <cellStyle name="Currency 3" xfId="5" xr:uid="{00000000-0005-0000-0000-000032000000}"/>
    <cellStyle name="Currency 4" xfId="6" xr:uid="{00000000-0005-0000-0000-000033000000}"/>
    <cellStyle name="Normal" xfId="0" builtinId="0"/>
    <cellStyle name="Normal 2" xfId="7" xr:uid="{00000000-0005-0000-0000-000034000000}"/>
    <cellStyle name="Normal 2 3" xfId="8" xr:uid="{00000000-0005-0000-0000-000035000000}"/>
    <cellStyle name="Normal 4" xfId="9" xr:uid="{00000000-0005-0000-0000-000036000000}"/>
    <cellStyle name="Note" xfId="3" builtinId="10"/>
    <cellStyle name="Percent" xfId="2" builtinId="5"/>
    <cellStyle name="Percent 2" xfId="10" xr:uid="{00000000-0005-0000-0000-000037000000}"/>
    <cellStyle name="Percent 3" xfId="11" xr:uid="{00000000-0005-0000-0000-000038000000}"/>
    <cellStyle name="Percent 4" xfId="12" xr:uid="{00000000-0005-0000-0000-000039000000}"/>
    <cellStyle name="Style 1" xfId="13" xr:uid="{00000000-0005-0000-0000-00003A000000}"/>
  </cellStyles>
  <dxfs count="0"/>
  <tableStyles count="0" defaultTableStyle="TableStyleMedium9" defaultPivotStyle="PivotStyleLight16"/>
  <colors>
    <mruColors>
      <color rgb="FF00496A"/>
      <color rgb="FF4A4C4C"/>
      <color rgb="FF013554"/>
      <color rgb="FF001521"/>
      <color rgb="FF00A6A5"/>
      <color rgb="FF00C8C3"/>
      <color rgb="FF00A8A4"/>
      <color rgb="FF00DED9"/>
      <color rgb="FF00BCB8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DIVISION COST COMPARISON</c:v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'General Summary'!$B$5:$B$10</c:f>
              <c:strCache>
                <c:ptCount val="6"/>
                <c:pt idx="0">
                  <c:v>General Requirments</c:v>
                </c:pt>
                <c:pt idx="1">
                  <c:v>Framing</c:v>
                </c:pt>
                <c:pt idx="2">
                  <c:v>Flooring</c:v>
                </c:pt>
                <c:pt idx="3">
                  <c:v>Drywall</c:v>
                </c:pt>
                <c:pt idx="4">
                  <c:v>ACT Ceiling</c:v>
                </c:pt>
                <c:pt idx="5">
                  <c:v>Paint</c:v>
                </c:pt>
              </c:strCache>
            </c:strRef>
          </c:cat>
          <c:val>
            <c:numRef>
              <c:f>'General Summary'!$C$5:$C$10</c:f>
              <c:numCache>
                <c:formatCode>_("$"* #,##0_);_("$"* \(#,##0\);_("$"* "-"??_);_(@_)</c:formatCode>
                <c:ptCount val="6"/>
                <c:pt idx="0">
                  <c:v>45000</c:v>
                </c:pt>
                <c:pt idx="1">
                  <c:v>100982.1547894737</c:v>
                </c:pt>
                <c:pt idx="2">
                  <c:v>144814.1</c:v>
                </c:pt>
                <c:pt idx="3">
                  <c:v>118610.92096399999</c:v>
                </c:pt>
                <c:pt idx="4">
                  <c:v>108007.10800000001</c:v>
                </c:pt>
                <c:pt idx="5">
                  <c:v>92205.787953799998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7F-41D8-8F6C-B562B0F20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525215184"/>
        <c:axId val="525188976"/>
      </c:barChart>
      <c:catAx>
        <c:axId val="5252151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188976"/>
        <c:crosses val="autoZero"/>
        <c:auto val="1"/>
        <c:lblAlgn val="ctr"/>
        <c:lblOffset val="100"/>
        <c:noMultiLvlLbl val="0"/>
      </c:catAx>
      <c:valAx>
        <c:axId val="5251889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21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50bdcd6d-3a25-41a2-ac87-8b19f0a2ffde}"/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1543</xdr:colOff>
      <xdr:row>3</xdr:row>
      <xdr:rowOff>10886</xdr:rowOff>
    </xdr:from>
    <xdr:to>
      <xdr:col>14</xdr:col>
      <xdr:colOff>2969</xdr:colOff>
      <xdr:row>16</xdr:row>
      <xdr:rowOff>196496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1</xdr:row>
      <xdr:rowOff>0</xdr:rowOff>
    </xdr:from>
    <xdr:ext cx="184731" cy="2899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00275" y="0"/>
          <a:ext cx="184150" cy="289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99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43075" y="0"/>
          <a:ext cx="184150" cy="289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N27"/>
  <sheetViews>
    <sheetView view="pageBreakPreview" zoomScale="80" zoomScaleNormal="100" workbookViewId="0">
      <selection activeCell="C8" sqref="C8"/>
    </sheetView>
  </sheetViews>
  <sheetFormatPr defaultColWidth="9" defaultRowHeight="13.8"/>
  <cols>
    <col min="1" max="1" width="38.5" style="212" customWidth="1"/>
    <col min="2" max="2" width="63.09765625" style="212" customWidth="1"/>
    <col min="3" max="3" width="17.5" style="213" customWidth="1"/>
    <col min="4" max="16384" width="9" style="212"/>
  </cols>
  <sheetData>
    <row r="1" spans="1:14" ht="21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5"/>
    </row>
    <row r="2" spans="1:14" ht="21" customHeight="1">
      <c r="A2" s="238"/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40"/>
    </row>
    <row r="3" spans="1:14" ht="21" customHeight="1">
      <c r="A3" s="241"/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3"/>
    </row>
    <row r="4" spans="1:14" ht="18">
      <c r="A4" s="214" t="s">
        <v>1</v>
      </c>
      <c r="B4" s="214" t="s">
        <v>2</v>
      </c>
      <c r="C4" s="214" t="s">
        <v>3</v>
      </c>
      <c r="N4" s="231"/>
    </row>
    <row r="5" spans="1:14" ht="15.6">
      <c r="A5" s="215"/>
      <c r="B5" s="216" t="s">
        <v>4</v>
      </c>
      <c r="C5" s="217">
        <f>'Takeoff Breakdown'!Q15</f>
        <v>45000</v>
      </c>
      <c r="N5" s="231"/>
    </row>
    <row r="6" spans="1:14" ht="15.6">
      <c r="A6" s="215"/>
      <c r="B6" s="216" t="s">
        <v>5</v>
      </c>
      <c r="C6" s="217">
        <f>'Takeoff Breakdown'!Q26</f>
        <v>100982.1547894737</v>
      </c>
      <c r="N6" s="231"/>
    </row>
    <row r="7" spans="1:14" ht="15.6">
      <c r="A7" s="215"/>
      <c r="B7" s="216" t="s">
        <v>6</v>
      </c>
      <c r="C7" s="217">
        <f>'Takeoff Breakdown'!Q37</f>
        <v>144814.1</v>
      </c>
      <c r="N7" s="231"/>
    </row>
    <row r="8" spans="1:14" ht="15.6">
      <c r="A8" s="215"/>
      <c r="B8" s="216" t="s">
        <v>7</v>
      </c>
      <c r="C8" s="217">
        <f>'Takeoff Breakdown'!Q72</f>
        <v>118610.92096399999</v>
      </c>
      <c r="N8" s="231"/>
    </row>
    <row r="9" spans="1:14" ht="15.6">
      <c r="A9" s="215"/>
      <c r="B9" s="216" t="s">
        <v>8</v>
      </c>
      <c r="C9" s="217">
        <f>'Takeoff Breakdown'!Q77</f>
        <v>108007.10800000001</v>
      </c>
      <c r="N9" s="231"/>
    </row>
    <row r="10" spans="1:14" ht="15.6">
      <c r="A10" s="218"/>
      <c r="B10" s="219" t="s">
        <v>9</v>
      </c>
      <c r="C10" s="220">
        <f>'Takeoff Breakdown'!Q98</f>
        <v>92205.787953799998</v>
      </c>
      <c r="N10" s="231"/>
    </row>
    <row r="11" spans="1:14" ht="15.6">
      <c r="A11" s="236" t="s">
        <v>10</v>
      </c>
      <c r="B11" s="236"/>
      <c r="C11" s="221">
        <f>SUM(C5:C10)</f>
        <v>609620.07170727372</v>
      </c>
      <c r="E11" s="222"/>
      <c r="N11" s="231"/>
    </row>
    <row r="12" spans="1:14" ht="15.6">
      <c r="A12" s="237"/>
      <c r="B12" s="237"/>
      <c r="C12" s="237"/>
      <c r="N12" s="231"/>
    </row>
    <row r="13" spans="1:14" ht="15.6">
      <c r="A13" s="157" t="s">
        <v>11</v>
      </c>
      <c r="B13" s="223">
        <v>0.05</v>
      </c>
      <c r="C13" s="224">
        <f>C11*B13</f>
        <v>30481.003585363687</v>
      </c>
      <c r="D13" s="222"/>
      <c r="E13" s="222"/>
      <c r="N13" s="231"/>
    </row>
    <row r="14" spans="1:14" ht="15.6">
      <c r="A14" s="157" t="s">
        <v>12</v>
      </c>
      <c r="B14" s="223">
        <v>0.15</v>
      </c>
      <c r="C14" s="224">
        <f>C11*B14</f>
        <v>91443.010756091055</v>
      </c>
      <c r="N14" s="231"/>
    </row>
    <row r="15" spans="1:14" ht="15.6">
      <c r="A15" s="166" t="s">
        <v>13</v>
      </c>
      <c r="B15" s="225">
        <v>7.0000000000000007E-2</v>
      </c>
      <c r="C15" s="226">
        <f>C11*B15</f>
        <v>42673.405019509162</v>
      </c>
      <c r="N15" s="231"/>
    </row>
    <row r="16" spans="1:14" ht="15.6">
      <c r="A16" s="172" t="s">
        <v>14</v>
      </c>
      <c r="B16" s="227">
        <v>1.4999999999999999E-2</v>
      </c>
      <c r="C16" s="228">
        <f>C11*B16</f>
        <v>9144.3010756091062</v>
      </c>
      <c r="N16" s="231"/>
    </row>
    <row r="17" spans="1:14" ht="15.6">
      <c r="A17" s="172" t="s">
        <v>15</v>
      </c>
      <c r="B17" s="227"/>
      <c r="C17" s="228">
        <f>SUM(C11,C13:C16)</f>
        <v>783361.79214384675</v>
      </c>
      <c r="D17" s="229"/>
      <c r="E17" s="230"/>
      <c r="F17" s="230"/>
      <c r="G17" s="230"/>
      <c r="H17" s="230"/>
      <c r="I17" s="230"/>
      <c r="J17" s="230"/>
      <c r="K17" s="230"/>
      <c r="L17" s="230"/>
      <c r="M17" s="230"/>
      <c r="N17" s="232"/>
    </row>
    <row r="27" spans="1:14">
      <c r="C27" s="212"/>
    </row>
  </sheetData>
  <mergeCells count="4">
    <mergeCell ref="A1:N1"/>
    <mergeCell ref="A11:B11"/>
    <mergeCell ref="A12:C12"/>
    <mergeCell ref="A2:N3"/>
  </mergeCells>
  <pageMargins left="0.7" right="0.7" top="0.75" bottom="0.75" header="0.3" footer="0.3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J106"/>
  <sheetViews>
    <sheetView showGridLines="0" tabSelected="1" topLeftCell="A2" zoomScale="55" zoomScaleNormal="55" zoomScaleSheetLayoutView="85" workbookViewId="0">
      <pane ySplit="5" topLeftCell="A7" activePane="bottomLeft" state="frozen"/>
      <selection pane="bottomLeft" activeCell="D4" sqref="D4"/>
    </sheetView>
  </sheetViews>
  <sheetFormatPr defaultColWidth="9" defaultRowHeight="15.6"/>
  <cols>
    <col min="1" max="1" width="4.09765625" style="31" customWidth="1"/>
    <col min="2" max="2" width="9.296875" style="31" customWidth="1"/>
    <col min="3" max="3" width="9.5" style="31" customWidth="1"/>
    <col min="4" max="4" width="68.69921875" style="31" customWidth="1"/>
    <col min="5" max="6" width="11.5" style="32" customWidth="1"/>
    <col min="7" max="7" width="14" style="32" customWidth="1"/>
    <col min="8" max="8" width="10.5" style="31" customWidth="1"/>
    <col min="9" max="10" width="14" style="32" customWidth="1"/>
    <col min="11" max="12" width="12.5" style="31" customWidth="1"/>
    <col min="13" max="13" width="14.5" style="31" customWidth="1"/>
    <col min="14" max="14" width="19.09765625" style="31" customWidth="1"/>
    <col min="15" max="15" width="14.59765625" style="31" customWidth="1"/>
    <col min="16" max="16" width="12.5" style="31" customWidth="1"/>
    <col min="17" max="17" width="15.19921875" style="33" customWidth="1"/>
    <col min="18" max="18" width="12.09765625" style="31" customWidth="1"/>
    <col min="19" max="16384" width="9" style="31"/>
  </cols>
  <sheetData>
    <row r="1" spans="1:18" s="27" customFormat="1" ht="15" hidden="1" customHeight="1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18">
      <c r="A2" s="244" t="s">
        <v>16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6"/>
    </row>
    <row r="3" spans="1:18" ht="17.7" customHeight="1">
      <c r="A3" s="36"/>
      <c r="B3" s="247" t="s">
        <v>17</v>
      </c>
      <c r="C3" s="247"/>
      <c r="D3" s="37" t="s">
        <v>152</v>
      </c>
      <c r="E3" s="38"/>
      <c r="F3" s="38"/>
      <c r="G3" s="39"/>
      <c r="H3" s="39"/>
      <c r="I3" s="39"/>
      <c r="J3" s="39"/>
      <c r="K3" s="39"/>
      <c r="L3" s="39"/>
      <c r="M3" s="39"/>
      <c r="N3" s="39"/>
      <c r="O3" s="97"/>
      <c r="P3" s="98"/>
      <c r="Q3" s="119"/>
    </row>
    <row r="4" spans="1:18" ht="18" customHeight="1">
      <c r="A4" s="36"/>
      <c r="B4" s="248" t="s">
        <v>18</v>
      </c>
      <c r="C4" s="248"/>
      <c r="D4" s="37" t="s">
        <v>153</v>
      </c>
      <c r="E4" s="40"/>
      <c r="F4" s="40"/>
      <c r="G4" s="40"/>
      <c r="H4" s="41"/>
      <c r="I4" s="40"/>
      <c r="J4" s="40"/>
      <c r="K4" s="39"/>
      <c r="L4" s="39"/>
      <c r="M4" s="39"/>
      <c r="N4" s="39"/>
      <c r="O4" s="97"/>
      <c r="P4" s="98"/>
      <c r="Q4" s="119"/>
    </row>
    <row r="5" spans="1:18" ht="24" customHeight="1">
      <c r="A5" s="36"/>
      <c r="B5" s="249" t="s">
        <v>19</v>
      </c>
      <c r="C5" s="249"/>
      <c r="D5" s="37" t="s">
        <v>20</v>
      </c>
      <c r="E5" s="42"/>
      <c r="F5" s="40"/>
      <c r="G5" s="40"/>
      <c r="H5" s="42"/>
      <c r="I5" s="40"/>
      <c r="J5" s="40"/>
      <c r="K5" s="99"/>
      <c r="L5" s="99"/>
      <c r="M5" s="99"/>
      <c r="N5" s="99"/>
      <c r="O5" s="100"/>
      <c r="P5" s="101"/>
      <c r="Q5" s="119"/>
    </row>
    <row r="6" spans="1:18" s="27" customFormat="1" ht="59.7" customHeight="1">
      <c r="A6" s="43" t="s">
        <v>21</v>
      </c>
      <c r="B6" s="44" t="s">
        <v>22</v>
      </c>
      <c r="C6" s="44" t="s">
        <v>23</v>
      </c>
      <c r="D6" s="45" t="s">
        <v>2</v>
      </c>
      <c r="E6" s="44" t="s">
        <v>24</v>
      </c>
      <c r="F6" s="44" t="s">
        <v>25</v>
      </c>
      <c r="G6" s="44" t="s">
        <v>26</v>
      </c>
      <c r="H6" s="44" t="s">
        <v>27</v>
      </c>
      <c r="I6" s="44" t="s">
        <v>28</v>
      </c>
      <c r="J6" s="44" t="s">
        <v>29</v>
      </c>
      <c r="K6" s="44" t="s">
        <v>30</v>
      </c>
      <c r="L6" s="44" t="s">
        <v>31</v>
      </c>
      <c r="M6" s="44" t="s">
        <v>32</v>
      </c>
      <c r="N6" s="44" t="s">
        <v>33</v>
      </c>
      <c r="O6" s="44" t="s">
        <v>34</v>
      </c>
      <c r="P6" s="44" t="s">
        <v>35</v>
      </c>
      <c r="Q6" s="120" t="s">
        <v>36</v>
      </c>
    </row>
    <row r="7" spans="1:18" s="28" customFormat="1" ht="18" customHeight="1">
      <c r="A7" s="46"/>
      <c r="B7" s="47"/>
      <c r="C7" s="48">
        <v>1</v>
      </c>
      <c r="D7" s="49" t="s">
        <v>37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121"/>
    </row>
    <row r="8" spans="1:18" ht="18" customHeight="1">
      <c r="A8" s="50">
        <f>IF(F8&lt;&gt;"",1+MAX($A$2:A7),"")</f>
        <v>1</v>
      </c>
      <c r="B8" s="51"/>
      <c r="C8" s="51"/>
      <c r="D8" s="52" t="s">
        <v>38</v>
      </c>
      <c r="E8" s="53">
        <v>1</v>
      </c>
      <c r="F8" s="54">
        <v>0</v>
      </c>
      <c r="G8" s="55">
        <f t="shared" ref="G8:G14" si="0">(F8*E8)+E8</f>
        <v>1</v>
      </c>
      <c r="H8" s="53" t="s">
        <v>39</v>
      </c>
      <c r="I8" s="102">
        <v>0</v>
      </c>
      <c r="J8" s="103">
        <f t="shared" ref="J8:J14" si="1">+I8*G8</f>
        <v>0</v>
      </c>
      <c r="K8" s="104">
        <v>0</v>
      </c>
      <c r="L8" s="105">
        <f t="shared" ref="L8:L14" si="2">I8*K8</f>
        <v>0</v>
      </c>
      <c r="M8" s="105">
        <f t="shared" ref="M8:M14" si="3">K8*J8</f>
        <v>0</v>
      </c>
      <c r="N8" s="105">
        <v>0</v>
      </c>
      <c r="O8" s="105">
        <f t="shared" ref="O8:O14" si="4">N8*G8</f>
        <v>0</v>
      </c>
      <c r="P8" s="105">
        <f>(I8*K8)+N8</f>
        <v>0</v>
      </c>
      <c r="Q8" s="252">
        <v>45000</v>
      </c>
      <c r="R8" s="122"/>
    </row>
    <row r="9" spans="1:18" ht="18" customHeight="1">
      <c r="A9" s="56">
        <f>IF(F9&lt;&gt;"",1+MAX($A$2:A8),"")</f>
        <v>2</v>
      </c>
      <c r="B9" s="57"/>
      <c r="C9" s="57"/>
      <c r="D9" s="58" t="s">
        <v>40</v>
      </c>
      <c r="E9" s="59">
        <v>1</v>
      </c>
      <c r="F9" s="60">
        <v>0</v>
      </c>
      <c r="G9" s="61">
        <f t="shared" si="0"/>
        <v>1</v>
      </c>
      <c r="H9" s="59" t="s">
        <v>39</v>
      </c>
      <c r="I9" s="102">
        <v>0</v>
      </c>
      <c r="J9" s="103">
        <f t="shared" si="1"/>
        <v>0</v>
      </c>
      <c r="K9" s="104">
        <v>0</v>
      </c>
      <c r="L9" s="105">
        <f t="shared" si="2"/>
        <v>0</v>
      </c>
      <c r="M9" s="105">
        <f t="shared" si="3"/>
        <v>0</v>
      </c>
      <c r="N9" s="105">
        <v>0</v>
      </c>
      <c r="O9" s="105">
        <f t="shared" si="4"/>
        <v>0</v>
      </c>
      <c r="P9" s="105">
        <f t="shared" ref="P9:P14" si="5">(I9*K9)+N9</f>
        <v>0</v>
      </c>
      <c r="Q9" s="253"/>
      <c r="R9" s="122"/>
    </row>
    <row r="10" spans="1:18" ht="18" customHeight="1">
      <c r="A10" s="56">
        <f>IF(F10&lt;&gt;"",1+MAX($A$2:A9),"")</f>
        <v>3</v>
      </c>
      <c r="B10" s="57"/>
      <c r="C10" s="57"/>
      <c r="D10" s="58" t="s">
        <v>41</v>
      </c>
      <c r="E10" s="59">
        <v>1</v>
      </c>
      <c r="F10" s="60">
        <v>0</v>
      </c>
      <c r="G10" s="61">
        <f t="shared" si="0"/>
        <v>1</v>
      </c>
      <c r="H10" s="59" t="s">
        <v>39</v>
      </c>
      <c r="I10" s="102">
        <v>0</v>
      </c>
      <c r="J10" s="103">
        <f t="shared" si="1"/>
        <v>0</v>
      </c>
      <c r="K10" s="104">
        <v>0</v>
      </c>
      <c r="L10" s="105">
        <f t="shared" si="2"/>
        <v>0</v>
      </c>
      <c r="M10" s="105">
        <f t="shared" si="3"/>
        <v>0</v>
      </c>
      <c r="N10" s="105">
        <v>0</v>
      </c>
      <c r="O10" s="105">
        <f t="shared" si="4"/>
        <v>0</v>
      </c>
      <c r="P10" s="105">
        <f t="shared" si="5"/>
        <v>0</v>
      </c>
      <c r="Q10" s="253"/>
      <c r="R10" s="122"/>
    </row>
    <row r="11" spans="1:18" ht="18" customHeight="1">
      <c r="A11" s="56">
        <f>IF(F11&lt;&gt;"",1+MAX($A$2:A10),"")</f>
        <v>4</v>
      </c>
      <c r="B11" s="57"/>
      <c r="C11" s="57"/>
      <c r="D11" s="58" t="s">
        <v>42</v>
      </c>
      <c r="E11" s="59">
        <v>1</v>
      </c>
      <c r="F11" s="60">
        <v>0</v>
      </c>
      <c r="G11" s="61">
        <f t="shared" si="0"/>
        <v>1</v>
      </c>
      <c r="H11" s="59" t="s">
        <v>39</v>
      </c>
      <c r="I11" s="102">
        <v>0</v>
      </c>
      <c r="J11" s="103">
        <f t="shared" si="1"/>
        <v>0</v>
      </c>
      <c r="K11" s="104">
        <v>0</v>
      </c>
      <c r="L11" s="105">
        <f t="shared" si="2"/>
        <v>0</v>
      </c>
      <c r="M11" s="105">
        <f t="shared" si="3"/>
        <v>0</v>
      </c>
      <c r="N11" s="105">
        <v>0</v>
      </c>
      <c r="O11" s="105">
        <f t="shared" si="4"/>
        <v>0</v>
      </c>
      <c r="P11" s="105">
        <f t="shared" si="5"/>
        <v>0</v>
      </c>
      <c r="Q11" s="253"/>
      <c r="R11" s="122"/>
    </row>
    <row r="12" spans="1:18" ht="18" customHeight="1">
      <c r="A12" s="56">
        <f>IF(F12&lt;&gt;"",1+MAX($A$2:A11),"")</f>
        <v>5</v>
      </c>
      <c r="B12" s="57"/>
      <c r="C12" s="57"/>
      <c r="D12" s="58" t="s">
        <v>43</v>
      </c>
      <c r="E12" s="59">
        <v>1</v>
      </c>
      <c r="F12" s="60">
        <v>0</v>
      </c>
      <c r="G12" s="61">
        <f t="shared" si="0"/>
        <v>1</v>
      </c>
      <c r="H12" s="59" t="s">
        <v>39</v>
      </c>
      <c r="I12" s="102">
        <v>0</v>
      </c>
      <c r="J12" s="103">
        <f t="shared" si="1"/>
        <v>0</v>
      </c>
      <c r="K12" s="104">
        <v>0</v>
      </c>
      <c r="L12" s="105">
        <f t="shared" si="2"/>
        <v>0</v>
      </c>
      <c r="M12" s="105">
        <f t="shared" si="3"/>
        <v>0</v>
      </c>
      <c r="N12" s="105">
        <v>0</v>
      </c>
      <c r="O12" s="105">
        <f t="shared" si="4"/>
        <v>0</v>
      </c>
      <c r="P12" s="105">
        <f t="shared" si="5"/>
        <v>0</v>
      </c>
      <c r="Q12" s="253"/>
      <c r="R12" s="122"/>
    </row>
    <row r="13" spans="1:18" ht="18" customHeight="1">
      <c r="A13" s="56">
        <f>IF(F13&lt;&gt;"",1+MAX($A$2:A12),"")</f>
        <v>6</v>
      </c>
      <c r="B13" s="57"/>
      <c r="C13" s="57"/>
      <c r="D13" s="58" t="s">
        <v>44</v>
      </c>
      <c r="E13" s="59">
        <v>1</v>
      </c>
      <c r="F13" s="60">
        <v>0</v>
      </c>
      <c r="G13" s="61">
        <f t="shared" si="0"/>
        <v>1</v>
      </c>
      <c r="H13" s="59" t="s">
        <v>39</v>
      </c>
      <c r="I13" s="102">
        <v>0</v>
      </c>
      <c r="J13" s="103">
        <f t="shared" si="1"/>
        <v>0</v>
      </c>
      <c r="K13" s="104">
        <v>0</v>
      </c>
      <c r="L13" s="105">
        <f t="shared" si="2"/>
        <v>0</v>
      </c>
      <c r="M13" s="105">
        <f t="shared" si="3"/>
        <v>0</v>
      </c>
      <c r="N13" s="105">
        <v>0</v>
      </c>
      <c r="O13" s="105">
        <f t="shared" si="4"/>
        <v>0</v>
      </c>
      <c r="P13" s="105">
        <f t="shared" si="5"/>
        <v>0</v>
      </c>
      <c r="Q13" s="253"/>
      <c r="R13" s="122"/>
    </row>
    <row r="14" spans="1:18" ht="18" customHeight="1">
      <c r="A14" s="56">
        <f>IF(F14&lt;&gt;"",1+MAX($A$2:A13),"")</f>
        <v>7</v>
      </c>
      <c r="B14" s="57"/>
      <c r="C14" s="57"/>
      <c r="D14" s="62" t="s">
        <v>45</v>
      </c>
      <c r="E14" s="63">
        <v>1</v>
      </c>
      <c r="F14" s="64">
        <v>0</v>
      </c>
      <c r="G14" s="65">
        <f t="shared" si="0"/>
        <v>1</v>
      </c>
      <c r="H14" s="63" t="s">
        <v>39</v>
      </c>
      <c r="I14" s="106">
        <v>0</v>
      </c>
      <c r="J14" s="107">
        <f t="shared" si="1"/>
        <v>0</v>
      </c>
      <c r="K14" s="108">
        <v>0</v>
      </c>
      <c r="L14" s="109">
        <f t="shared" si="2"/>
        <v>0</v>
      </c>
      <c r="M14" s="109">
        <f t="shared" si="3"/>
        <v>0</v>
      </c>
      <c r="N14" s="109">
        <v>0</v>
      </c>
      <c r="O14" s="109">
        <f t="shared" si="4"/>
        <v>0</v>
      </c>
      <c r="P14" s="105">
        <f t="shared" si="5"/>
        <v>0</v>
      </c>
      <c r="Q14" s="254"/>
      <c r="R14" s="122"/>
    </row>
    <row r="15" spans="1:18" s="27" customFormat="1">
      <c r="A15" s="66" t="str">
        <f>IF(F15&lt;&gt;"",1+MAX($A$2:A14),"")</f>
        <v/>
      </c>
      <c r="B15" s="66"/>
      <c r="C15" s="67"/>
      <c r="D15" s="68" t="s">
        <v>46</v>
      </c>
      <c r="E15" s="69"/>
      <c r="F15" s="69"/>
      <c r="G15" s="69"/>
      <c r="H15" s="69"/>
      <c r="I15" s="69"/>
      <c r="J15" s="69"/>
      <c r="K15" s="110"/>
      <c r="L15" s="110"/>
      <c r="M15" s="110"/>
      <c r="N15" s="110"/>
      <c r="O15" s="110"/>
      <c r="P15" s="110"/>
      <c r="Q15" s="123">
        <f>SUM(Q8:Q14)</f>
        <v>45000</v>
      </c>
      <c r="R15" s="124"/>
    </row>
    <row r="16" spans="1:18" s="27" customFormat="1">
      <c r="A16" s="70" t="str">
        <f>IF(F16&lt;&gt;"",1+MAX($A$2:A15),"")</f>
        <v/>
      </c>
      <c r="B16" s="71"/>
      <c r="C16" s="71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125"/>
      <c r="R16" s="124"/>
    </row>
    <row r="17" spans="1:19" s="29" customFormat="1">
      <c r="A17" s="46" t="str">
        <f>IF(F17&lt;&gt;"",1+MAX($A$2:A16),"")</f>
        <v/>
      </c>
      <c r="B17" s="47"/>
      <c r="C17" s="48">
        <v>5</v>
      </c>
      <c r="D17" s="73" t="s">
        <v>47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126"/>
      <c r="S17" s="127"/>
    </row>
    <row r="18" spans="1:19">
      <c r="A18" s="74" t="str">
        <f>IF(F18&lt;&gt;"",1+MAX($A$2:A17),"")</f>
        <v/>
      </c>
      <c r="B18" s="75"/>
      <c r="C18" s="57"/>
      <c r="D18" s="76" t="s">
        <v>48</v>
      </c>
      <c r="E18" s="61"/>
      <c r="F18" s="60"/>
      <c r="G18" s="61"/>
      <c r="H18" s="61"/>
      <c r="I18" s="102"/>
      <c r="J18" s="103"/>
      <c r="K18" s="104"/>
      <c r="L18" s="105"/>
      <c r="M18" s="105"/>
      <c r="N18" s="105"/>
      <c r="O18" s="105"/>
      <c r="P18" s="105"/>
      <c r="Q18" s="128"/>
      <c r="R18" s="122"/>
      <c r="S18" s="122"/>
    </row>
    <row r="19" spans="1:19">
      <c r="A19" s="74">
        <f>IF(F19&lt;&gt;"",1+MAX($A$2:A18),"")</f>
        <v>8</v>
      </c>
      <c r="B19" s="75"/>
      <c r="C19" s="57"/>
      <c r="D19" s="52" t="s">
        <v>49</v>
      </c>
      <c r="E19" s="61">
        <v>6429</v>
      </c>
      <c r="F19" s="77">
        <v>0.05</v>
      </c>
      <c r="G19" s="78">
        <f t="shared" ref="G19:G24" si="6">E19*(1+F19)</f>
        <v>6750.4500000000007</v>
      </c>
      <c r="H19" s="79" t="s">
        <v>50</v>
      </c>
      <c r="I19" s="111">
        <v>0.03</v>
      </c>
      <c r="J19" s="103">
        <f t="shared" ref="J19:J22" si="7">+I19*G19</f>
        <v>202.51350000000002</v>
      </c>
      <c r="K19" s="104">
        <f>'LABOR SHEET'!C$3</f>
        <v>32</v>
      </c>
      <c r="L19" s="105">
        <f t="shared" ref="L19:L22" si="8">I19*K19</f>
        <v>0.96</v>
      </c>
      <c r="M19" s="105">
        <f t="shared" ref="M19:M22" si="9">K19*J19</f>
        <v>6480.4320000000007</v>
      </c>
      <c r="N19" s="112">
        <v>1.7</v>
      </c>
      <c r="O19" s="105">
        <f t="shared" ref="O19:O24" si="10">N19*G19</f>
        <v>11475.765000000001</v>
      </c>
      <c r="P19" s="105">
        <f t="shared" ref="P19:P24" si="11">(I19*K19)+N19</f>
        <v>2.66</v>
      </c>
      <c r="Q19" s="128">
        <f t="shared" ref="Q19:Q24" si="12">P19*G19</f>
        <v>17956.197000000004</v>
      </c>
      <c r="R19" s="122"/>
      <c r="S19" s="122"/>
    </row>
    <row r="20" spans="1:19">
      <c r="A20" s="74">
        <f>IF(F20&lt;&gt;"",1+MAX($A$2:A19),"")</f>
        <v>9</v>
      </c>
      <c r="B20" s="75"/>
      <c r="C20" s="57"/>
      <c r="D20" s="52" t="s">
        <v>51</v>
      </c>
      <c r="E20" s="61">
        <v>681</v>
      </c>
      <c r="F20" s="77">
        <v>0.05</v>
      </c>
      <c r="G20" s="78">
        <f t="shared" si="6"/>
        <v>715.05000000000007</v>
      </c>
      <c r="H20" s="79" t="s">
        <v>50</v>
      </c>
      <c r="I20" s="111">
        <v>0.03</v>
      </c>
      <c r="J20" s="103">
        <f t="shared" ref="J20:J21" si="13">+I20*G20</f>
        <v>21.451500000000003</v>
      </c>
      <c r="K20" s="104">
        <f>'LABOR SHEET'!C$3</f>
        <v>32</v>
      </c>
      <c r="L20" s="105">
        <f t="shared" ref="L20:L21" si="14">I20*K20</f>
        <v>0.96</v>
      </c>
      <c r="M20" s="105">
        <f t="shared" ref="M20:M21" si="15">K20*J20</f>
        <v>686.44800000000009</v>
      </c>
      <c r="N20" s="112">
        <v>1.7</v>
      </c>
      <c r="O20" s="105">
        <f t="shared" si="10"/>
        <v>1215.585</v>
      </c>
      <c r="P20" s="105">
        <f t="shared" si="11"/>
        <v>2.66</v>
      </c>
      <c r="Q20" s="128">
        <f t="shared" si="12"/>
        <v>1902.0330000000004</v>
      </c>
      <c r="R20" s="122"/>
      <c r="S20" s="122"/>
    </row>
    <row r="21" spans="1:19">
      <c r="A21" s="74">
        <f>IF(F21&lt;&gt;"",1+MAX($A$2:A20),"")</f>
        <v>10</v>
      </c>
      <c r="B21" s="75"/>
      <c r="C21" s="57"/>
      <c r="D21" s="52" t="s">
        <v>52</v>
      </c>
      <c r="E21" s="61">
        <v>681</v>
      </c>
      <c r="F21" s="77">
        <v>0.05</v>
      </c>
      <c r="G21" s="78">
        <f t="shared" si="6"/>
        <v>715.05000000000007</v>
      </c>
      <c r="H21" s="79" t="s">
        <v>50</v>
      </c>
      <c r="I21" s="111">
        <v>0.03</v>
      </c>
      <c r="J21" s="103">
        <f t="shared" si="13"/>
        <v>21.451500000000003</v>
      </c>
      <c r="K21" s="104">
        <f>'LABOR SHEET'!C$3</f>
        <v>32</v>
      </c>
      <c r="L21" s="105">
        <f t="shared" si="14"/>
        <v>0.96</v>
      </c>
      <c r="M21" s="105">
        <f t="shared" si="15"/>
        <v>686.44800000000009</v>
      </c>
      <c r="N21" s="112">
        <v>1.7</v>
      </c>
      <c r="O21" s="105">
        <f t="shared" si="10"/>
        <v>1215.585</v>
      </c>
      <c r="P21" s="105">
        <f t="shared" si="11"/>
        <v>2.66</v>
      </c>
      <c r="Q21" s="128">
        <f t="shared" si="12"/>
        <v>1902.0330000000004</v>
      </c>
      <c r="R21" s="122"/>
      <c r="S21" s="122"/>
    </row>
    <row r="22" spans="1:19">
      <c r="A22" s="74">
        <f>IF(F22&lt;&gt;"",1+MAX($A$2:A21),"")</f>
        <v>11</v>
      </c>
      <c r="B22" s="75"/>
      <c r="C22" s="57"/>
      <c r="D22" s="52" t="s">
        <v>53</v>
      </c>
      <c r="E22" s="61">
        <f>25468/1.33</f>
        <v>19148.872180451126</v>
      </c>
      <c r="F22" s="77">
        <v>0.05</v>
      </c>
      <c r="G22" s="78">
        <f t="shared" si="6"/>
        <v>20106.315789473683</v>
      </c>
      <c r="H22" s="79" t="s">
        <v>50</v>
      </c>
      <c r="I22" s="111">
        <v>0.04</v>
      </c>
      <c r="J22" s="103">
        <f t="shared" si="7"/>
        <v>804.25263157894733</v>
      </c>
      <c r="K22" s="104">
        <f>'LABOR SHEET'!C$3</f>
        <v>32</v>
      </c>
      <c r="L22" s="105">
        <f t="shared" si="8"/>
        <v>1.28</v>
      </c>
      <c r="M22" s="105">
        <f t="shared" si="9"/>
        <v>25736.084210526315</v>
      </c>
      <c r="N22" s="112">
        <v>2</v>
      </c>
      <c r="O22" s="105">
        <f t="shared" si="10"/>
        <v>40212.631578947367</v>
      </c>
      <c r="P22" s="105">
        <f t="shared" si="11"/>
        <v>3.2800000000000002</v>
      </c>
      <c r="Q22" s="128">
        <f t="shared" si="12"/>
        <v>65948.715789473688</v>
      </c>
      <c r="R22" s="122"/>
      <c r="S22" s="122"/>
    </row>
    <row r="23" spans="1:19">
      <c r="A23" s="74">
        <f>IF(F23&lt;&gt;"",1+MAX($A$2:A22),"")</f>
        <v>12</v>
      </c>
      <c r="B23" s="75"/>
      <c r="C23" s="57"/>
      <c r="D23" s="52" t="s">
        <v>54</v>
      </c>
      <c r="E23" s="61">
        <v>1927</v>
      </c>
      <c r="F23" s="77">
        <v>0.05</v>
      </c>
      <c r="G23" s="78">
        <f t="shared" si="6"/>
        <v>2023.3500000000001</v>
      </c>
      <c r="H23" s="79" t="s">
        <v>50</v>
      </c>
      <c r="I23" s="111">
        <v>0.04</v>
      </c>
      <c r="J23" s="103">
        <f t="shared" ref="J23:J24" si="16">+I23*G23</f>
        <v>80.934000000000012</v>
      </c>
      <c r="K23" s="104">
        <f>'LABOR SHEET'!C$3</f>
        <v>32</v>
      </c>
      <c r="L23" s="105">
        <f t="shared" ref="L23:L24" si="17">I23*K23</f>
        <v>1.28</v>
      </c>
      <c r="M23" s="105">
        <f t="shared" ref="M23:M24" si="18">K23*J23</f>
        <v>2589.8880000000004</v>
      </c>
      <c r="N23" s="112">
        <v>2</v>
      </c>
      <c r="O23" s="105">
        <f t="shared" si="10"/>
        <v>4046.7000000000003</v>
      </c>
      <c r="P23" s="105">
        <f t="shared" si="11"/>
        <v>3.2800000000000002</v>
      </c>
      <c r="Q23" s="128">
        <f t="shared" si="12"/>
        <v>6636.5880000000006</v>
      </c>
      <c r="R23" s="122"/>
      <c r="S23" s="122"/>
    </row>
    <row r="24" spans="1:19">
      <c r="A24" s="74">
        <f>IF(F24&lt;&gt;"",1+MAX($A$2:A23),"")</f>
        <v>13</v>
      </c>
      <c r="B24" s="75"/>
      <c r="C24" s="57"/>
      <c r="D24" s="52" t="s">
        <v>55</v>
      </c>
      <c r="E24" s="61">
        <v>1927</v>
      </c>
      <c r="F24" s="77">
        <v>0.05</v>
      </c>
      <c r="G24" s="78">
        <f t="shared" si="6"/>
        <v>2023.3500000000001</v>
      </c>
      <c r="H24" s="79" t="s">
        <v>50</v>
      </c>
      <c r="I24" s="111">
        <v>0.04</v>
      </c>
      <c r="J24" s="103">
        <f t="shared" si="16"/>
        <v>80.934000000000012</v>
      </c>
      <c r="K24" s="104">
        <f>'LABOR SHEET'!C$3</f>
        <v>32</v>
      </c>
      <c r="L24" s="105">
        <f t="shared" si="17"/>
        <v>1.28</v>
      </c>
      <c r="M24" s="105">
        <f t="shared" si="18"/>
        <v>2589.8880000000004</v>
      </c>
      <c r="N24" s="112">
        <v>2</v>
      </c>
      <c r="O24" s="105">
        <f t="shared" si="10"/>
        <v>4046.7000000000003</v>
      </c>
      <c r="P24" s="105">
        <f t="shared" si="11"/>
        <v>3.2800000000000002</v>
      </c>
      <c r="Q24" s="128">
        <f t="shared" si="12"/>
        <v>6636.5880000000006</v>
      </c>
      <c r="R24" s="122"/>
      <c r="S24" s="122"/>
    </row>
    <row r="25" spans="1:19">
      <c r="A25" s="74" t="str">
        <f>IF(F25&lt;&gt;"",1+MAX($A$2:A24),"")</f>
        <v/>
      </c>
      <c r="B25" s="75"/>
      <c r="C25" s="57"/>
      <c r="D25" s="52"/>
      <c r="E25" s="61"/>
      <c r="F25" s="60"/>
      <c r="G25" s="61"/>
      <c r="H25" s="61"/>
      <c r="I25" s="102"/>
      <c r="J25" s="103"/>
      <c r="K25" s="104"/>
      <c r="L25" s="105"/>
      <c r="M25" s="105"/>
      <c r="N25" s="105"/>
      <c r="O25" s="105"/>
      <c r="P25" s="105"/>
      <c r="Q25" s="128"/>
      <c r="R25" s="122"/>
      <c r="S25" s="122"/>
    </row>
    <row r="26" spans="1:19" s="27" customFormat="1">
      <c r="A26" s="80" t="str">
        <f>IF(F26&lt;&gt;"",1+MAX($A$2:A25),"")</f>
        <v/>
      </c>
      <c r="B26" s="66"/>
      <c r="C26" s="67"/>
      <c r="D26" s="68" t="s">
        <v>56</v>
      </c>
      <c r="E26" s="69"/>
      <c r="F26" s="69"/>
      <c r="G26" s="69"/>
      <c r="H26" s="69"/>
      <c r="I26" s="69"/>
      <c r="J26" s="113"/>
      <c r="K26" s="113"/>
      <c r="L26" s="114"/>
      <c r="M26" s="115"/>
      <c r="N26" s="114"/>
      <c r="O26" s="110"/>
      <c r="P26" s="110"/>
      <c r="Q26" s="123">
        <f>SUM(Q19:Q24)</f>
        <v>100982.1547894737</v>
      </c>
      <c r="R26" s="124"/>
    </row>
    <row r="27" spans="1:19" ht="18" customHeight="1">
      <c r="A27" s="81" t="str">
        <f>IF(F27&lt;&gt;"",1+MAX($A$2:A26),"")</f>
        <v/>
      </c>
      <c r="B27" s="82"/>
      <c r="C27" s="82"/>
      <c r="D27" s="82"/>
      <c r="E27" s="83"/>
      <c r="F27" s="84"/>
      <c r="G27" s="83"/>
      <c r="H27" s="85"/>
      <c r="I27" s="116"/>
      <c r="J27" s="83"/>
      <c r="K27" s="117"/>
      <c r="L27" s="117"/>
      <c r="M27" s="117"/>
      <c r="N27" s="117"/>
      <c r="O27" s="117"/>
      <c r="P27" s="117"/>
      <c r="Q27" s="129"/>
      <c r="R27" s="122"/>
      <c r="S27" s="122"/>
    </row>
    <row r="28" spans="1:19" s="30" customFormat="1">
      <c r="A28" s="86" t="str">
        <f>IF(F28&lt;&gt;"",1+MAX($A$2:A27),"")</f>
        <v/>
      </c>
      <c r="B28" s="48"/>
      <c r="C28" s="48">
        <v>9</v>
      </c>
      <c r="D28" s="73" t="s">
        <v>57</v>
      </c>
      <c r="E28" s="48"/>
      <c r="F28" s="48"/>
      <c r="G28" s="48"/>
      <c r="H28" s="48"/>
      <c r="I28" s="48"/>
      <c r="J28" s="48"/>
      <c r="K28" s="48"/>
      <c r="L28" s="48" t="s">
        <v>58</v>
      </c>
      <c r="M28" s="48"/>
      <c r="N28" s="47"/>
      <c r="O28" s="47"/>
      <c r="P28" s="48"/>
      <c r="Q28" s="130"/>
      <c r="S28" s="131"/>
    </row>
    <row r="29" spans="1:19">
      <c r="A29" s="74" t="str">
        <f>IF(F29&lt;&gt;"",1+MAX($A$2:A28),"")</f>
        <v/>
      </c>
      <c r="B29" s="75"/>
      <c r="C29" s="57"/>
      <c r="D29" s="76" t="s">
        <v>59</v>
      </c>
      <c r="E29" s="61"/>
      <c r="F29" s="60"/>
      <c r="G29" s="61"/>
      <c r="H29" s="61"/>
      <c r="I29" s="102"/>
      <c r="J29" s="103"/>
      <c r="K29" s="104"/>
      <c r="L29" s="105"/>
      <c r="M29" s="105"/>
      <c r="N29" s="105"/>
      <c r="O29" s="105"/>
      <c r="P29" s="105"/>
      <c r="Q29" s="128"/>
      <c r="R29" s="122"/>
      <c r="S29" s="122"/>
    </row>
    <row r="30" spans="1:19">
      <c r="A30" s="74">
        <f>IF(F30&lt;&gt;"",1+MAX($A$2:A29),"")</f>
        <v>14</v>
      </c>
      <c r="B30" s="75"/>
      <c r="C30" s="57"/>
      <c r="D30" s="52" t="s">
        <v>60</v>
      </c>
      <c r="E30" s="61">
        <v>21435</v>
      </c>
      <c r="F30" s="77">
        <v>0.1</v>
      </c>
      <c r="G30" s="78">
        <f t="shared" ref="G30" si="19">E30*(1+F30)</f>
        <v>23578.500000000004</v>
      </c>
      <c r="H30" s="87" t="s">
        <v>61</v>
      </c>
      <c r="I30" s="102">
        <v>3.7999999999999999E-2</v>
      </c>
      <c r="J30" s="103">
        <f t="shared" ref="J30" si="20">+I30*G30</f>
        <v>895.98300000000006</v>
      </c>
      <c r="K30" s="104">
        <f>'LABOR SHEET'!$C$5</f>
        <v>22.5</v>
      </c>
      <c r="L30" s="105">
        <f t="shared" ref="L30" si="21">I30*K30</f>
        <v>0.85499999999999998</v>
      </c>
      <c r="M30" s="105">
        <f t="shared" ref="M30" si="22">K30*J30</f>
        <v>20159.6175</v>
      </c>
      <c r="N30" s="105">
        <v>4.0999999999999996</v>
      </c>
      <c r="O30" s="105">
        <f t="shared" ref="O30" si="23">N30*G30</f>
        <v>96671.85</v>
      </c>
      <c r="P30" s="105">
        <f t="shared" ref="P30" si="24">(I30*K30)+N30</f>
        <v>4.9550000000000001</v>
      </c>
      <c r="Q30" s="128">
        <f t="shared" ref="Q30" si="25">P30*G30</f>
        <v>116831.46750000001</v>
      </c>
      <c r="R30" s="122"/>
      <c r="S30" s="122"/>
    </row>
    <row r="31" spans="1:19">
      <c r="A31" s="74">
        <f>IF(F31&lt;&gt;"",1+MAX($A$2:A30),"")</f>
        <v>15</v>
      </c>
      <c r="B31" s="75"/>
      <c r="C31" s="57"/>
      <c r="D31" s="52" t="s">
        <v>62</v>
      </c>
      <c r="E31" s="61">
        <v>1066</v>
      </c>
      <c r="F31" s="77">
        <v>0.1</v>
      </c>
      <c r="G31" s="78">
        <f t="shared" ref="G31" si="26">E31*(1+F31)</f>
        <v>1172.6000000000001</v>
      </c>
      <c r="H31" s="87" t="s">
        <v>61</v>
      </c>
      <c r="I31" s="102">
        <v>0.06</v>
      </c>
      <c r="J31" s="103">
        <f t="shared" ref="J31" si="27">+I31*G31</f>
        <v>70.356000000000009</v>
      </c>
      <c r="K31" s="104">
        <f>'LABOR SHEET'!$C$5</f>
        <v>22.5</v>
      </c>
      <c r="L31" s="105">
        <f t="shared" ref="L31" si="28">I31*K31</f>
        <v>1.3499999999999999</v>
      </c>
      <c r="M31" s="105">
        <f t="shared" ref="M31" si="29">K31*J31</f>
        <v>1583.0100000000002</v>
      </c>
      <c r="N31" s="105">
        <f>9.5+0.8</f>
        <v>10.3</v>
      </c>
      <c r="O31" s="105">
        <f t="shared" ref="O31" si="30">N31*G31</f>
        <v>12077.780000000002</v>
      </c>
      <c r="P31" s="105">
        <f t="shared" ref="P31" si="31">(I31*K31)+N31</f>
        <v>11.65</v>
      </c>
      <c r="Q31" s="128">
        <f t="shared" ref="Q31" si="32">P31*G31</f>
        <v>13660.790000000003</v>
      </c>
      <c r="R31" s="122"/>
      <c r="S31" s="122"/>
    </row>
    <row r="32" spans="1:19">
      <c r="A32" s="74" t="str">
        <f>IF(F32&lt;&gt;"",1+MAX($A$2:A31),"")</f>
        <v/>
      </c>
      <c r="B32" s="75"/>
      <c r="C32" s="57"/>
      <c r="D32" s="52"/>
      <c r="E32" s="61"/>
      <c r="F32" s="77"/>
      <c r="G32" s="78"/>
      <c r="H32" s="87"/>
      <c r="I32" s="102"/>
      <c r="J32" s="103"/>
      <c r="K32" s="104"/>
      <c r="L32" s="105"/>
      <c r="M32" s="105"/>
      <c r="N32" s="105"/>
      <c r="O32" s="105"/>
      <c r="P32" s="105"/>
      <c r="Q32" s="128"/>
      <c r="R32" s="122"/>
      <c r="S32" s="122"/>
    </row>
    <row r="33" spans="1:36">
      <c r="A33" s="74" t="str">
        <f>IF(F33&lt;&gt;"",1+MAX($A$2:A32),"")</f>
        <v/>
      </c>
      <c r="B33" s="75"/>
      <c r="C33" s="57"/>
      <c r="D33" s="76" t="s">
        <v>63</v>
      </c>
      <c r="E33" s="61"/>
      <c r="F33" s="77"/>
      <c r="G33" s="78"/>
      <c r="H33" s="87"/>
      <c r="I33" s="102"/>
      <c r="J33" s="103"/>
      <c r="K33" s="104"/>
      <c r="L33" s="105"/>
      <c r="M33" s="105"/>
      <c r="N33" s="105"/>
      <c r="O33" s="105"/>
      <c r="P33" s="105"/>
      <c r="Q33" s="128"/>
      <c r="R33" s="122"/>
      <c r="S33" s="122"/>
    </row>
    <row r="34" spans="1:36">
      <c r="A34" s="74">
        <f>IF(F34&lt;&gt;"",1+MAX($A$2:A33),"")</f>
        <v>16</v>
      </c>
      <c r="B34" s="75"/>
      <c r="C34" s="57"/>
      <c r="D34" s="52" t="s">
        <v>64</v>
      </c>
      <c r="E34" s="61">
        <v>5236</v>
      </c>
      <c r="F34" s="77">
        <v>0.05</v>
      </c>
      <c r="G34" s="78">
        <f t="shared" ref="G34:G35" si="33">E34*(1+F34)</f>
        <v>5497.8</v>
      </c>
      <c r="H34" s="87" t="s">
        <v>50</v>
      </c>
      <c r="I34" s="102">
        <v>2.5999999999999999E-2</v>
      </c>
      <c r="J34" s="103">
        <f t="shared" ref="J34:J35" si="34">+I34*G34</f>
        <v>142.94280000000001</v>
      </c>
      <c r="K34" s="104">
        <f>'LABOR SHEET'!$C$5</f>
        <v>22.5</v>
      </c>
      <c r="L34" s="105">
        <f t="shared" ref="L34:L35" si="35">I34*K34</f>
        <v>0.58499999999999996</v>
      </c>
      <c r="M34" s="105">
        <f t="shared" ref="M34:M35" si="36">K34*J34</f>
        <v>3216.2130000000002</v>
      </c>
      <c r="N34" s="105">
        <v>1.74</v>
      </c>
      <c r="O34" s="105">
        <f t="shared" ref="O34:O35" si="37">N34*G34</f>
        <v>9566.1720000000005</v>
      </c>
      <c r="P34" s="105">
        <f t="shared" ref="P34:P35" si="38">(I34*K34)+N34</f>
        <v>2.3250000000000002</v>
      </c>
      <c r="Q34" s="128">
        <f t="shared" ref="Q34:Q35" si="39">P34*G34</f>
        <v>12782.385000000002</v>
      </c>
      <c r="R34" s="122"/>
      <c r="S34" s="122"/>
    </row>
    <row r="35" spans="1:36">
      <c r="A35" s="74">
        <f>IF(F35&lt;&gt;"",1+MAX($A$2:A34),"")</f>
        <v>17</v>
      </c>
      <c r="B35" s="75"/>
      <c r="C35" s="57"/>
      <c r="D35" s="52" t="s">
        <v>65</v>
      </c>
      <c r="E35" s="61">
        <v>497</v>
      </c>
      <c r="F35" s="77">
        <v>0.05</v>
      </c>
      <c r="G35" s="78">
        <f t="shared" si="33"/>
        <v>521.85</v>
      </c>
      <c r="H35" s="87" t="s">
        <v>50</v>
      </c>
      <c r="I35" s="102">
        <v>2.8000000000000001E-2</v>
      </c>
      <c r="J35" s="103">
        <f t="shared" si="34"/>
        <v>14.611800000000001</v>
      </c>
      <c r="K35" s="104">
        <f>'LABOR SHEET'!$C$5</f>
        <v>22.5</v>
      </c>
      <c r="L35" s="105">
        <f t="shared" si="35"/>
        <v>0.63</v>
      </c>
      <c r="M35" s="105">
        <f t="shared" si="36"/>
        <v>328.76550000000003</v>
      </c>
      <c r="N35" s="105">
        <v>2.3199999999999998</v>
      </c>
      <c r="O35" s="105">
        <f t="shared" si="37"/>
        <v>1210.692</v>
      </c>
      <c r="P35" s="105">
        <f t="shared" si="38"/>
        <v>2.9499999999999997</v>
      </c>
      <c r="Q35" s="128">
        <f t="shared" si="39"/>
        <v>1539.4575</v>
      </c>
      <c r="R35" s="122"/>
      <c r="S35" s="122"/>
    </row>
    <row r="36" spans="1:36">
      <c r="A36" s="74" t="str">
        <f>IF(F36&lt;&gt;"",1+MAX($A$2:A35),"")</f>
        <v/>
      </c>
      <c r="B36" s="75"/>
      <c r="C36" s="57"/>
      <c r="D36" s="52"/>
      <c r="E36" s="61"/>
      <c r="F36" s="77"/>
      <c r="G36" s="78"/>
      <c r="H36" s="87"/>
      <c r="I36" s="102"/>
      <c r="J36" s="103"/>
      <c r="K36" s="104"/>
      <c r="L36" s="105"/>
      <c r="M36" s="105"/>
      <c r="N36" s="105"/>
      <c r="O36" s="105"/>
      <c r="P36" s="105"/>
      <c r="Q36" s="128"/>
      <c r="R36" s="122"/>
      <c r="S36" s="122"/>
    </row>
    <row r="37" spans="1:36" s="27" customFormat="1">
      <c r="A37" s="80" t="str">
        <f>IF(F37&lt;&gt;"",1+MAX($A$2:A36),"")</f>
        <v/>
      </c>
      <c r="B37" s="66"/>
      <c r="C37" s="67"/>
      <c r="D37" s="68" t="s">
        <v>66</v>
      </c>
      <c r="E37" s="69"/>
      <c r="F37" s="69"/>
      <c r="G37" s="69"/>
      <c r="H37" s="69"/>
      <c r="I37" s="69"/>
      <c r="J37" s="113"/>
      <c r="K37" s="113"/>
      <c r="L37" s="114"/>
      <c r="M37" s="115"/>
      <c r="N37" s="114"/>
      <c r="O37" s="110"/>
      <c r="P37" s="110"/>
      <c r="Q37" s="123">
        <f>SUM(Q30:Q36)</f>
        <v>144814.1</v>
      </c>
      <c r="R37" s="124"/>
    </row>
    <row r="38" spans="1:36" ht="18" customHeight="1">
      <c r="A38" s="81" t="str">
        <f>IF(F38&lt;&gt;"",1+MAX($A$2:A37),"")</f>
        <v/>
      </c>
      <c r="B38" s="82"/>
      <c r="C38" s="82"/>
      <c r="D38" s="82"/>
      <c r="E38" s="83"/>
      <c r="F38" s="84"/>
      <c r="G38" s="83"/>
      <c r="H38" s="85"/>
      <c r="I38" s="116"/>
      <c r="J38" s="83"/>
      <c r="K38" s="117"/>
      <c r="L38" s="117"/>
      <c r="M38" s="117"/>
      <c r="N38" s="117"/>
      <c r="O38" s="117"/>
      <c r="P38" s="117"/>
      <c r="Q38" s="129"/>
      <c r="R38" s="122"/>
      <c r="S38" s="122"/>
    </row>
    <row r="39" spans="1:36" s="30" customFormat="1" ht="14.7" customHeight="1">
      <c r="A39" s="88" t="str">
        <f>IF(F39&lt;&gt;"",1+MAX($A$2:A38),"")</f>
        <v/>
      </c>
      <c r="B39" s="89"/>
      <c r="C39" s="61"/>
      <c r="D39" s="76" t="s">
        <v>67</v>
      </c>
      <c r="E39" s="90"/>
      <c r="F39" s="90"/>
      <c r="G39" s="90"/>
      <c r="H39" s="90"/>
      <c r="I39" s="102"/>
      <c r="J39" s="79"/>
      <c r="K39" s="79"/>
      <c r="L39" s="105"/>
      <c r="M39" s="105"/>
      <c r="N39" s="105"/>
      <c r="O39" s="105"/>
      <c r="P39" s="105"/>
      <c r="Q39" s="132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</row>
    <row r="40" spans="1:36" s="30" customFormat="1" ht="14.7" customHeight="1">
      <c r="A40" s="88" t="str">
        <f>IF(F40&lt;&gt;"",1+MAX($A$2:A39),"")</f>
        <v/>
      </c>
      <c r="B40" s="89"/>
      <c r="C40" s="61"/>
      <c r="D40" s="91" t="s">
        <v>68</v>
      </c>
      <c r="E40" s="90"/>
      <c r="F40" s="90"/>
      <c r="G40" s="90"/>
      <c r="H40" s="90"/>
      <c r="I40" s="102"/>
      <c r="J40" s="79"/>
      <c r="K40" s="79"/>
      <c r="L40" s="105"/>
      <c r="M40" s="105"/>
      <c r="N40" s="105"/>
      <c r="O40" s="105"/>
      <c r="P40" s="105"/>
      <c r="Q40" s="134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</row>
    <row r="41" spans="1:36" s="30" customFormat="1">
      <c r="A41" s="88">
        <f>IF(F41&lt;&gt;"",1+MAX($A$2:A40),"")</f>
        <v>18</v>
      </c>
      <c r="B41" s="89"/>
      <c r="C41" s="61"/>
      <c r="D41" s="92" t="s">
        <v>69</v>
      </c>
      <c r="E41" s="93">
        <v>53596</v>
      </c>
      <c r="F41" s="77">
        <v>0.1</v>
      </c>
      <c r="G41" s="78">
        <f t="shared" ref="G41:G45" si="40">E41*(1+F41)</f>
        <v>58955.600000000006</v>
      </c>
      <c r="H41" s="87" t="s">
        <v>61</v>
      </c>
      <c r="I41" s="102">
        <v>1.7000000000000001E-2</v>
      </c>
      <c r="J41" s="103">
        <f t="shared" ref="J41:J45" si="41">+I41*G41</f>
        <v>1002.2452000000002</v>
      </c>
      <c r="K41" s="104">
        <f>'LABOR SHEET'!C$3</f>
        <v>32</v>
      </c>
      <c r="L41" s="105">
        <f t="shared" ref="L41" si="42">I41*K41</f>
        <v>0.54400000000000004</v>
      </c>
      <c r="M41" s="105">
        <f t="shared" ref="M41:M45" si="43">K41*J41</f>
        <v>32071.846400000006</v>
      </c>
      <c r="N41" s="105">
        <v>0.49</v>
      </c>
      <c r="O41" s="105">
        <f t="shared" ref="O41" si="44">N41*G41</f>
        <v>28888.244000000002</v>
      </c>
      <c r="P41" s="105">
        <f t="shared" ref="P41" si="45">(I41*K41)+N41</f>
        <v>1.034</v>
      </c>
      <c r="Q41" s="128">
        <f t="shared" ref="Q41" si="46">P41*G41</f>
        <v>60960.090400000008</v>
      </c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</row>
    <row r="42" spans="1:36" s="30" customFormat="1">
      <c r="A42" s="88">
        <f>IF(F42&lt;&gt;"",1+MAX($A$2:A41),"")</f>
        <v>19</v>
      </c>
      <c r="B42" s="89"/>
      <c r="C42" s="61"/>
      <c r="D42" s="94" t="s">
        <v>70</v>
      </c>
      <c r="E42" s="93">
        <f>ROUNDUP(E41/32,0)</f>
        <v>1675</v>
      </c>
      <c r="F42" s="77">
        <v>0</v>
      </c>
      <c r="G42" s="78">
        <f t="shared" si="40"/>
        <v>1675</v>
      </c>
      <c r="H42" s="79" t="s">
        <v>71</v>
      </c>
      <c r="I42" s="102"/>
      <c r="J42" s="103"/>
      <c r="K42" s="104"/>
      <c r="L42" s="105"/>
      <c r="M42" s="105"/>
      <c r="N42" s="105"/>
      <c r="O42" s="105"/>
      <c r="P42" s="105"/>
      <c r="Q42" s="128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</row>
    <row r="43" spans="1:36" s="30" customFormat="1">
      <c r="A43" s="88">
        <f>IF(F43&lt;&gt;"",1+MAX($A$2:A42),"")</f>
        <v>20</v>
      </c>
      <c r="B43" s="89"/>
      <c r="C43" s="61"/>
      <c r="D43" s="94" t="s">
        <v>72</v>
      </c>
      <c r="E43" s="93">
        <f>ROUNDUP(E41*1.33,0)</f>
        <v>71283</v>
      </c>
      <c r="F43" s="77">
        <v>0</v>
      </c>
      <c r="G43" s="78">
        <f t="shared" si="40"/>
        <v>71283</v>
      </c>
      <c r="H43" s="79" t="s">
        <v>71</v>
      </c>
      <c r="I43" s="111">
        <v>2E-3</v>
      </c>
      <c r="J43" s="103">
        <f t="shared" si="41"/>
        <v>142.566</v>
      </c>
      <c r="K43" s="104">
        <f>'LABOR SHEET'!C$3</f>
        <v>32</v>
      </c>
      <c r="L43" s="112">
        <f>I43*K43</f>
        <v>6.4000000000000001E-2</v>
      </c>
      <c r="M43" s="105">
        <f t="shared" si="43"/>
        <v>4562.1120000000001</v>
      </c>
      <c r="N43" s="118">
        <v>0.06</v>
      </c>
      <c r="O43" s="105">
        <f t="shared" ref="O43:O45" si="47">N43*G43</f>
        <v>4276.9799999999996</v>
      </c>
      <c r="P43" s="105">
        <f t="shared" ref="P43:P45" si="48">(I43*K43)+N43</f>
        <v>0.124</v>
      </c>
      <c r="Q43" s="128">
        <f t="shared" ref="Q43:Q45" si="49">P43*G43</f>
        <v>8839.0920000000006</v>
      </c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133"/>
      <c r="AJ43" s="133"/>
    </row>
    <row r="44" spans="1:36" s="30" customFormat="1">
      <c r="A44" s="88">
        <f>IF(F44&lt;&gt;"",1+MAX($A$2:A43),"")</f>
        <v>21</v>
      </c>
      <c r="B44" s="89"/>
      <c r="C44" s="61"/>
      <c r="D44" s="94" t="s">
        <v>73</v>
      </c>
      <c r="E44" s="93">
        <f>ROUNDUP(E42*16,0)</f>
        <v>26800</v>
      </c>
      <c r="F44" s="77">
        <v>0.05</v>
      </c>
      <c r="G44" s="78">
        <f t="shared" si="40"/>
        <v>28140</v>
      </c>
      <c r="H44" s="79" t="s">
        <v>50</v>
      </c>
      <c r="I44" s="111">
        <v>1.0999999999999999E-2</v>
      </c>
      <c r="J44" s="103">
        <f t="shared" si="41"/>
        <v>309.53999999999996</v>
      </c>
      <c r="K44" s="104">
        <f>'LABOR SHEET'!C$3</f>
        <v>32</v>
      </c>
      <c r="L44" s="112">
        <f>I44*K44</f>
        <v>0.35199999999999998</v>
      </c>
      <c r="M44" s="105">
        <f t="shared" si="43"/>
        <v>9905.2799999999988</v>
      </c>
      <c r="N44" s="118">
        <v>0.03</v>
      </c>
      <c r="O44" s="105">
        <f t="shared" si="47"/>
        <v>844.19999999999993</v>
      </c>
      <c r="P44" s="105">
        <f t="shared" si="48"/>
        <v>0.38200000000000001</v>
      </c>
      <c r="Q44" s="128">
        <f t="shared" si="49"/>
        <v>10749.48</v>
      </c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</row>
    <row r="45" spans="1:36" s="30" customFormat="1">
      <c r="A45" s="88">
        <f>IF(F45&lt;&gt;"",1+MAX($A$2:A44),"")</f>
        <v>22</v>
      </c>
      <c r="B45" s="89"/>
      <c r="C45" s="61"/>
      <c r="D45" s="94" t="s">
        <v>74</v>
      </c>
      <c r="E45" s="93">
        <f>E41*0.084</f>
        <v>4502.0640000000003</v>
      </c>
      <c r="F45" s="60">
        <v>0.05</v>
      </c>
      <c r="G45" s="78">
        <f t="shared" si="40"/>
        <v>4727.1672000000008</v>
      </c>
      <c r="H45" s="79" t="s">
        <v>75</v>
      </c>
      <c r="I45" s="111">
        <v>0.11</v>
      </c>
      <c r="J45" s="103">
        <f t="shared" si="41"/>
        <v>519.98839200000009</v>
      </c>
      <c r="K45" s="104">
        <f>'LABOR SHEET'!C$3</f>
        <v>32</v>
      </c>
      <c r="L45" s="112">
        <f>I45*K45</f>
        <v>3.52</v>
      </c>
      <c r="M45" s="105">
        <f t="shared" si="43"/>
        <v>16639.628544000003</v>
      </c>
      <c r="N45" s="112">
        <v>0.5</v>
      </c>
      <c r="O45" s="105">
        <f t="shared" si="47"/>
        <v>2363.5836000000004</v>
      </c>
      <c r="P45" s="105">
        <f t="shared" si="48"/>
        <v>4.0199999999999996</v>
      </c>
      <c r="Q45" s="128">
        <f t="shared" si="49"/>
        <v>19003.212144000001</v>
      </c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</row>
    <row r="46" spans="1:36" s="30" customFormat="1">
      <c r="A46" s="88" t="str">
        <f>IF(F46&lt;&gt;"",1+MAX($A$2:A45),"")</f>
        <v/>
      </c>
      <c r="B46" s="89"/>
      <c r="C46" s="79"/>
      <c r="D46" s="95"/>
      <c r="E46" s="93"/>
      <c r="F46" s="77"/>
      <c r="G46" s="78"/>
      <c r="H46" s="79"/>
      <c r="I46" s="102"/>
      <c r="J46" s="103"/>
      <c r="K46" s="104"/>
      <c r="L46" s="105"/>
      <c r="M46" s="105"/>
      <c r="N46" s="105"/>
      <c r="O46" s="105"/>
      <c r="P46" s="105"/>
      <c r="Q46" s="132"/>
    </row>
    <row r="47" spans="1:36" s="30" customFormat="1">
      <c r="A47" s="88">
        <f>IF(F47&lt;&gt;"",1+MAX($A$2:A46),"")</f>
        <v>23</v>
      </c>
      <c r="B47" s="89"/>
      <c r="C47" s="96"/>
      <c r="D47" s="92" t="s">
        <v>76</v>
      </c>
      <c r="E47" s="93">
        <v>4798</v>
      </c>
      <c r="F47" s="77">
        <v>0.1</v>
      </c>
      <c r="G47" s="78">
        <f t="shared" ref="G47:G51" si="50">E47*(1+F47)</f>
        <v>5277.8</v>
      </c>
      <c r="H47" s="87" t="s">
        <v>61</v>
      </c>
      <c r="I47" s="102">
        <v>1.9E-2</v>
      </c>
      <c r="J47" s="103">
        <f t="shared" ref="J47" si="51">+I47*G47</f>
        <v>100.2782</v>
      </c>
      <c r="K47" s="104">
        <f>'LABOR SHEET'!C$3</f>
        <v>32</v>
      </c>
      <c r="L47" s="105">
        <f t="shared" ref="L47" si="52">I47*K47</f>
        <v>0.60799999999999998</v>
      </c>
      <c r="M47" s="105">
        <f t="shared" ref="M47" si="53">K47*J47</f>
        <v>3208.9023999999999</v>
      </c>
      <c r="N47" s="105">
        <v>0.74</v>
      </c>
      <c r="O47" s="105">
        <f t="shared" ref="O47:O51" si="54">N47*G47</f>
        <v>3905.5720000000001</v>
      </c>
      <c r="P47" s="105">
        <f t="shared" ref="P47:P51" si="55">(I47*K47)+N47</f>
        <v>1.3479999999999999</v>
      </c>
      <c r="Q47" s="128">
        <f t="shared" ref="Q47:Q51" si="56">P47*G47</f>
        <v>7114.4743999999992</v>
      </c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</row>
    <row r="48" spans="1:36" s="30" customFormat="1">
      <c r="A48" s="88">
        <f>IF(F48&lt;&gt;"",1+MAX($A$2:A47),"")</f>
        <v>24</v>
      </c>
      <c r="B48" s="89"/>
      <c r="C48" s="61"/>
      <c r="D48" s="94" t="s">
        <v>70</v>
      </c>
      <c r="E48" s="93">
        <f>ROUNDUP(E47/32,0)</f>
        <v>150</v>
      </c>
      <c r="F48" s="77">
        <v>0</v>
      </c>
      <c r="G48" s="78">
        <f t="shared" si="50"/>
        <v>150</v>
      </c>
      <c r="H48" s="79" t="s">
        <v>71</v>
      </c>
      <c r="I48" s="102"/>
      <c r="J48" s="103"/>
      <c r="K48" s="104"/>
      <c r="L48" s="105"/>
      <c r="M48" s="105"/>
      <c r="N48" s="105"/>
      <c r="O48" s="105"/>
      <c r="P48" s="105"/>
      <c r="Q48" s="128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</row>
    <row r="49" spans="1:36" s="30" customFormat="1">
      <c r="A49" s="88">
        <f>IF(F49&lt;&gt;"",1+MAX($A$2:A48),"")</f>
        <v>25</v>
      </c>
      <c r="B49" s="89"/>
      <c r="C49" s="61"/>
      <c r="D49" s="94" t="s">
        <v>72</v>
      </c>
      <c r="E49" s="93">
        <f>ROUNDUP(E47*1.33,0)</f>
        <v>6382</v>
      </c>
      <c r="F49" s="77">
        <v>0</v>
      </c>
      <c r="G49" s="78">
        <f t="shared" si="50"/>
        <v>6382</v>
      </c>
      <c r="H49" s="79" t="s">
        <v>71</v>
      </c>
      <c r="I49" s="111">
        <v>2E-3</v>
      </c>
      <c r="J49" s="103">
        <f t="shared" ref="J49:J51" si="57">+I49*G49</f>
        <v>12.764000000000001</v>
      </c>
      <c r="K49" s="104">
        <f>'LABOR SHEET'!C$3</f>
        <v>32</v>
      </c>
      <c r="L49" s="112">
        <f>I49*K49</f>
        <v>6.4000000000000001E-2</v>
      </c>
      <c r="M49" s="105">
        <f t="shared" ref="M49:M51" si="58">K49*J49</f>
        <v>408.44800000000004</v>
      </c>
      <c r="N49" s="118">
        <v>0.06</v>
      </c>
      <c r="O49" s="105">
        <f t="shared" si="54"/>
        <v>382.91999999999996</v>
      </c>
      <c r="P49" s="105">
        <f t="shared" si="55"/>
        <v>0.124</v>
      </c>
      <c r="Q49" s="128">
        <f t="shared" si="56"/>
        <v>791.36799999999994</v>
      </c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</row>
    <row r="50" spans="1:36" s="30" customFormat="1">
      <c r="A50" s="88">
        <f>IF(F50&lt;&gt;"",1+MAX($A$2:A49),"")</f>
        <v>26</v>
      </c>
      <c r="B50" s="89"/>
      <c r="C50" s="61"/>
      <c r="D50" s="94" t="s">
        <v>73</v>
      </c>
      <c r="E50" s="93">
        <f>ROUNDUP(E48*16,0)</f>
        <v>2400</v>
      </c>
      <c r="F50" s="77">
        <v>0.05</v>
      </c>
      <c r="G50" s="78">
        <f t="shared" si="50"/>
        <v>2520</v>
      </c>
      <c r="H50" s="79" t="s">
        <v>50</v>
      </c>
      <c r="I50" s="111">
        <v>1.0999999999999999E-2</v>
      </c>
      <c r="J50" s="103">
        <f t="shared" si="57"/>
        <v>27.72</v>
      </c>
      <c r="K50" s="104">
        <f>'LABOR SHEET'!C$3</f>
        <v>32</v>
      </c>
      <c r="L50" s="112">
        <f t="shared" ref="L50:L57" si="59">I50*K50</f>
        <v>0.35199999999999998</v>
      </c>
      <c r="M50" s="105">
        <f t="shared" si="58"/>
        <v>887.04</v>
      </c>
      <c r="N50" s="118">
        <v>0.03</v>
      </c>
      <c r="O50" s="105">
        <f t="shared" si="54"/>
        <v>75.599999999999994</v>
      </c>
      <c r="P50" s="105">
        <f t="shared" si="55"/>
        <v>0.38200000000000001</v>
      </c>
      <c r="Q50" s="128">
        <f t="shared" si="56"/>
        <v>962.64</v>
      </c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</row>
    <row r="51" spans="1:36" s="30" customFormat="1">
      <c r="A51" s="88">
        <f>IF(F51&lt;&gt;"",1+MAX($A$2:A50),"")</f>
        <v>27</v>
      </c>
      <c r="B51" s="89"/>
      <c r="C51" s="61"/>
      <c r="D51" s="94" t="s">
        <v>74</v>
      </c>
      <c r="E51" s="93">
        <f>E47*0.084</f>
        <v>403.03200000000004</v>
      </c>
      <c r="F51" s="60">
        <v>0.05</v>
      </c>
      <c r="G51" s="78">
        <f t="shared" si="50"/>
        <v>423.18360000000007</v>
      </c>
      <c r="H51" s="79" t="s">
        <v>75</v>
      </c>
      <c r="I51" s="111">
        <v>0.11</v>
      </c>
      <c r="J51" s="103">
        <f t="shared" si="57"/>
        <v>46.550196000000007</v>
      </c>
      <c r="K51" s="104">
        <f>'LABOR SHEET'!C$3</f>
        <v>32</v>
      </c>
      <c r="L51" s="112">
        <f t="shared" si="59"/>
        <v>3.52</v>
      </c>
      <c r="M51" s="105">
        <f t="shared" si="58"/>
        <v>1489.6062720000002</v>
      </c>
      <c r="N51" s="112">
        <v>0.5</v>
      </c>
      <c r="O51" s="105">
        <f t="shared" si="54"/>
        <v>211.59180000000003</v>
      </c>
      <c r="P51" s="105">
        <f t="shared" si="55"/>
        <v>4.0199999999999996</v>
      </c>
      <c r="Q51" s="128">
        <f t="shared" si="56"/>
        <v>1701.1980720000001</v>
      </c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</row>
    <row r="52" spans="1:36" s="30" customFormat="1">
      <c r="A52" s="88" t="str">
        <f>IF(F52&lt;&gt;"",1+MAX($A$2:A51),"")</f>
        <v/>
      </c>
      <c r="B52" s="89"/>
      <c r="C52" s="79"/>
      <c r="D52" s="95"/>
      <c r="E52" s="93"/>
      <c r="F52" s="77"/>
      <c r="G52" s="78"/>
      <c r="H52" s="79"/>
      <c r="I52" s="102"/>
      <c r="J52" s="103"/>
      <c r="K52" s="104"/>
      <c r="L52" s="105"/>
      <c r="M52" s="105"/>
      <c r="N52" s="105"/>
      <c r="O52" s="105"/>
      <c r="P52" s="105"/>
      <c r="Q52" s="132"/>
    </row>
    <row r="53" spans="1:36" s="30" customFormat="1">
      <c r="A53" s="88">
        <f>IF(F53&lt;&gt;"",1+MAX($A$2:A52),"")</f>
        <v>28</v>
      </c>
      <c r="B53" s="89"/>
      <c r="C53" s="96"/>
      <c r="D53" s="92" t="s">
        <v>77</v>
      </c>
      <c r="E53" s="93">
        <v>496</v>
      </c>
      <c r="F53" s="77">
        <v>0.1</v>
      </c>
      <c r="G53" s="78">
        <f t="shared" ref="G53:G57" si="60">E53*(1+F53)</f>
        <v>545.6</v>
      </c>
      <c r="H53" s="87" t="s">
        <v>61</v>
      </c>
      <c r="I53" s="102">
        <v>2.1999999999999999E-2</v>
      </c>
      <c r="J53" s="103">
        <f t="shared" ref="J53" si="61">+I53*G53</f>
        <v>12.0032</v>
      </c>
      <c r="K53" s="104">
        <f>'LABOR SHEET'!C$3</f>
        <v>32</v>
      </c>
      <c r="L53" s="105">
        <f t="shared" ref="L53" si="62">I53*K53</f>
        <v>0.70399999999999996</v>
      </c>
      <c r="M53" s="105">
        <f t="shared" ref="M53" si="63">K53*J53</f>
        <v>384.10239999999999</v>
      </c>
      <c r="N53" s="105">
        <v>1.38</v>
      </c>
      <c r="O53" s="105">
        <f t="shared" ref="O53" si="64">N53*G53</f>
        <v>752.928</v>
      </c>
      <c r="P53" s="105">
        <f t="shared" ref="P53" si="65">(I53*K53)+N53</f>
        <v>2.0839999999999996</v>
      </c>
      <c r="Q53" s="128">
        <f t="shared" ref="Q53" si="66">P53*G53</f>
        <v>1137.0303999999999</v>
      </c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</row>
    <row r="54" spans="1:36" s="30" customFormat="1">
      <c r="A54" s="88">
        <f>IF(F54&lt;&gt;"",1+MAX($A$2:A53),"")</f>
        <v>29</v>
      </c>
      <c r="B54" s="89"/>
      <c r="C54" s="61"/>
      <c r="D54" s="94" t="s">
        <v>70</v>
      </c>
      <c r="E54" s="93">
        <f>ROUNDUP(E53/32,0)</f>
        <v>16</v>
      </c>
      <c r="F54" s="77">
        <v>0</v>
      </c>
      <c r="G54" s="78">
        <f t="shared" si="60"/>
        <v>16</v>
      </c>
      <c r="H54" s="79" t="s">
        <v>71</v>
      </c>
      <c r="I54" s="102"/>
      <c r="J54" s="103"/>
      <c r="K54" s="104"/>
      <c r="L54" s="105"/>
      <c r="M54" s="105"/>
      <c r="N54" s="105"/>
      <c r="O54" s="105"/>
      <c r="P54" s="105"/>
      <c r="Q54" s="128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</row>
    <row r="55" spans="1:36" s="30" customFormat="1">
      <c r="A55" s="88">
        <f>IF(F55&lt;&gt;"",1+MAX($A$2:A54),"")</f>
        <v>30</v>
      </c>
      <c r="B55" s="89"/>
      <c r="C55" s="61"/>
      <c r="D55" s="94" t="s">
        <v>72</v>
      </c>
      <c r="E55" s="93">
        <f>ROUNDUP(E53*1.33,0)</f>
        <v>660</v>
      </c>
      <c r="F55" s="77">
        <v>0</v>
      </c>
      <c r="G55" s="78">
        <f t="shared" si="60"/>
        <v>660</v>
      </c>
      <c r="H55" s="79" t="s">
        <v>71</v>
      </c>
      <c r="I55" s="111">
        <v>2E-3</v>
      </c>
      <c r="J55" s="103">
        <f t="shared" ref="J55:J57" si="67">+I55*G55</f>
        <v>1.32</v>
      </c>
      <c r="K55" s="104">
        <f>'LABOR SHEET'!C$3</f>
        <v>32</v>
      </c>
      <c r="L55" s="112">
        <f t="shared" si="59"/>
        <v>6.4000000000000001E-2</v>
      </c>
      <c r="M55" s="105">
        <f t="shared" ref="M55:M57" si="68">K55*J55</f>
        <v>42.24</v>
      </c>
      <c r="N55" s="118">
        <v>0.06</v>
      </c>
      <c r="O55" s="105">
        <f t="shared" ref="O55:O57" si="69">N55*G55</f>
        <v>39.6</v>
      </c>
      <c r="P55" s="105">
        <f t="shared" ref="P55:P57" si="70">(I55*K55)+N55</f>
        <v>0.124</v>
      </c>
      <c r="Q55" s="128">
        <f t="shared" ref="Q55:Q57" si="71">P55*G55</f>
        <v>81.84</v>
      </c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</row>
    <row r="56" spans="1:36" s="30" customFormat="1">
      <c r="A56" s="88">
        <f>IF(F56&lt;&gt;"",1+MAX($A$2:A55),"")</f>
        <v>31</v>
      </c>
      <c r="B56" s="89"/>
      <c r="C56" s="61"/>
      <c r="D56" s="94" t="s">
        <v>73</v>
      </c>
      <c r="E56" s="93">
        <f>ROUNDUP(E54*16,0)</f>
        <v>256</v>
      </c>
      <c r="F56" s="77">
        <v>0.05</v>
      </c>
      <c r="G56" s="78">
        <f t="shared" si="60"/>
        <v>268.8</v>
      </c>
      <c r="H56" s="79" t="s">
        <v>50</v>
      </c>
      <c r="I56" s="111">
        <v>1.0999999999999999E-2</v>
      </c>
      <c r="J56" s="103">
        <f t="shared" si="67"/>
        <v>2.9567999999999999</v>
      </c>
      <c r="K56" s="104">
        <f>'LABOR SHEET'!C$3</f>
        <v>32</v>
      </c>
      <c r="L56" s="112">
        <f t="shared" si="59"/>
        <v>0.35199999999999998</v>
      </c>
      <c r="M56" s="105">
        <f t="shared" si="68"/>
        <v>94.617599999999996</v>
      </c>
      <c r="N56" s="118">
        <v>0.03</v>
      </c>
      <c r="O56" s="105">
        <f t="shared" si="69"/>
        <v>8.0640000000000001</v>
      </c>
      <c r="P56" s="105">
        <f t="shared" si="70"/>
        <v>0.38200000000000001</v>
      </c>
      <c r="Q56" s="128">
        <f t="shared" si="71"/>
        <v>102.6816</v>
      </c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</row>
    <row r="57" spans="1:36" s="30" customFormat="1">
      <c r="A57" s="88">
        <f>IF(F57&lt;&gt;"",1+MAX($A$2:A56),"")</f>
        <v>32</v>
      </c>
      <c r="B57" s="89"/>
      <c r="C57" s="61"/>
      <c r="D57" s="94" t="s">
        <v>74</v>
      </c>
      <c r="E57" s="93">
        <f>E53*0.084</f>
        <v>41.664000000000001</v>
      </c>
      <c r="F57" s="60">
        <v>0.05</v>
      </c>
      <c r="G57" s="78">
        <f t="shared" si="60"/>
        <v>43.747200000000007</v>
      </c>
      <c r="H57" s="79" t="s">
        <v>75</v>
      </c>
      <c r="I57" s="111">
        <v>0.11</v>
      </c>
      <c r="J57" s="103">
        <f t="shared" si="67"/>
        <v>4.8121920000000005</v>
      </c>
      <c r="K57" s="104">
        <f>'LABOR SHEET'!C$3</f>
        <v>32</v>
      </c>
      <c r="L57" s="112">
        <f t="shared" si="59"/>
        <v>3.52</v>
      </c>
      <c r="M57" s="105">
        <f t="shared" si="68"/>
        <v>153.99014400000002</v>
      </c>
      <c r="N57" s="112">
        <v>0.5</v>
      </c>
      <c r="O57" s="105">
        <f t="shared" si="69"/>
        <v>21.873600000000003</v>
      </c>
      <c r="P57" s="105">
        <f t="shared" si="70"/>
        <v>4.0199999999999996</v>
      </c>
      <c r="Q57" s="128">
        <f t="shared" si="71"/>
        <v>175.863744</v>
      </c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</row>
    <row r="58" spans="1:36" s="30" customFormat="1">
      <c r="A58" s="88" t="str">
        <f>IF(F58&lt;&gt;"",1+MAX($A$2:A57),"")</f>
        <v/>
      </c>
      <c r="B58" s="89"/>
      <c r="C58" s="79"/>
      <c r="D58" s="95"/>
      <c r="E58" s="93"/>
      <c r="F58" s="77"/>
      <c r="G58" s="78"/>
      <c r="H58" s="79"/>
      <c r="I58" s="102"/>
      <c r="J58" s="103"/>
      <c r="K58" s="104"/>
      <c r="L58" s="105"/>
      <c r="M58" s="105"/>
      <c r="N58" s="105"/>
      <c r="O58" s="105"/>
      <c r="P58" s="105"/>
      <c r="Q58" s="132"/>
    </row>
    <row r="59" spans="1:36" s="30" customFormat="1" ht="14.7" customHeight="1">
      <c r="A59" s="88" t="str">
        <f>IF(F59&lt;&gt;"",1+MAX($A$2:A58),"")</f>
        <v/>
      </c>
      <c r="B59" s="89"/>
      <c r="C59" s="61"/>
      <c r="D59" s="91" t="s">
        <v>78</v>
      </c>
      <c r="E59" s="90"/>
      <c r="F59" s="90"/>
      <c r="G59" s="90"/>
      <c r="H59" s="90"/>
      <c r="I59" s="102"/>
      <c r="J59" s="79"/>
      <c r="K59" s="79"/>
      <c r="L59" s="105"/>
      <c r="M59" s="105"/>
      <c r="N59" s="105"/>
      <c r="O59" s="105"/>
      <c r="P59" s="105"/>
      <c r="Q59" s="134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</row>
    <row r="60" spans="1:36" s="30" customFormat="1">
      <c r="A60" s="88">
        <f>IF(F60&lt;&gt;"",1+MAX($A$2:A59),"")</f>
        <v>33</v>
      </c>
      <c r="B60" s="89"/>
      <c r="C60" s="61"/>
      <c r="D60" s="92" t="s">
        <v>79</v>
      </c>
      <c r="E60" s="93">
        <v>3050</v>
      </c>
      <c r="F60" s="77">
        <v>0.1</v>
      </c>
      <c r="G60" s="78">
        <f t="shared" ref="G60:G64" si="72">E60*(1+F60)</f>
        <v>3355.0000000000005</v>
      </c>
      <c r="H60" s="87" t="s">
        <v>61</v>
      </c>
      <c r="I60" s="102">
        <v>2.7E-2</v>
      </c>
      <c r="J60" s="103">
        <f t="shared" ref="J60" si="73">+I60*G60</f>
        <v>90.585000000000008</v>
      </c>
      <c r="K60" s="104">
        <f>'LABOR SHEET'!C$3</f>
        <v>32</v>
      </c>
      <c r="L60" s="105">
        <f t="shared" ref="L60" si="74">I60*K60</f>
        <v>0.86399999999999999</v>
      </c>
      <c r="M60" s="105">
        <f t="shared" ref="M60" si="75">K60*J60</f>
        <v>2898.7200000000003</v>
      </c>
      <c r="N60" s="105">
        <v>0.49</v>
      </c>
      <c r="O60" s="105">
        <f t="shared" ref="O60" si="76">N60*G60</f>
        <v>1643.9500000000003</v>
      </c>
      <c r="P60" s="105">
        <f t="shared" ref="P60" si="77">(I60*K60)+N60</f>
        <v>1.3540000000000001</v>
      </c>
      <c r="Q60" s="128">
        <f t="shared" ref="Q60" si="78">P60*G60</f>
        <v>4542.670000000001</v>
      </c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</row>
    <row r="61" spans="1:36" s="30" customFormat="1">
      <c r="A61" s="88">
        <f>IF(F61&lt;&gt;"",1+MAX($A$2:A60),"")</f>
        <v>34</v>
      </c>
      <c r="B61" s="89"/>
      <c r="C61" s="61"/>
      <c r="D61" s="94" t="s">
        <v>70</v>
      </c>
      <c r="E61" s="93">
        <f>ROUNDUP(E60/32,0)</f>
        <v>96</v>
      </c>
      <c r="F61" s="77">
        <v>0</v>
      </c>
      <c r="G61" s="78">
        <f t="shared" si="72"/>
        <v>96</v>
      </c>
      <c r="H61" s="79" t="s">
        <v>71</v>
      </c>
      <c r="I61" s="102"/>
      <c r="J61" s="103"/>
      <c r="K61" s="104"/>
      <c r="L61" s="105"/>
      <c r="M61" s="105"/>
      <c r="N61" s="105"/>
      <c r="O61" s="105"/>
      <c r="P61" s="105"/>
      <c r="Q61" s="128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</row>
    <row r="62" spans="1:36" s="30" customFormat="1">
      <c r="A62" s="88">
        <f>IF(F62&lt;&gt;"",1+MAX($A$2:A61),"")</f>
        <v>35</v>
      </c>
      <c r="B62" s="89"/>
      <c r="C62" s="61"/>
      <c r="D62" s="94" t="s">
        <v>72</v>
      </c>
      <c r="E62" s="93">
        <f>ROUNDUP(E60*1.33,0)</f>
        <v>4057</v>
      </c>
      <c r="F62" s="77">
        <v>0</v>
      </c>
      <c r="G62" s="78">
        <f t="shared" si="72"/>
        <v>4057</v>
      </c>
      <c r="H62" s="79" t="s">
        <v>71</v>
      </c>
      <c r="I62" s="111">
        <v>2E-3</v>
      </c>
      <c r="J62" s="103">
        <f t="shared" ref="J62:J64" si="79">+I62*G62</f>
        <v>8.1140000000000008</v>
      </c>
      <c r="K62" s="104">
        <f>'LABOR SHEET'!C$3</f>
        <v>32</v>
      </c>
      <c r="L62" s="112">
        <f t="shared" ref="L62:L66" si="80">I62*K62</f>
        <v>6.4000000000000001E-2</v>
      </c>
      <c r="M62" s="105">
        <f t="shared" ref="M62:M64" si="81">K62*J62</f>
        <v>259.64800000000002</v>
      </c>
      <c r="N62" s="118">
        <v>0.06</v>
      </c>
      <c r="O62" s="105">
        <f t="shared" ref="O62:O64" si="82">N62*G62</f>
        <v>243.42</v>
      </c>
      <c r="P62" s="105">
        <f t="shared" ref="P62:P64" si="83">(I62*K62)+N62</f>
        <v>0.124</v>
      </c>
      <c r="Q62" s="128">
        <f t="shared" ref="Q62:Q64" si="84">P62*G62</f>
        <v>503.06799999999998</v>
      </c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3"/>
      <c r="AG62" s="133"/>
      <c r="AH62" s="133"/>
      <c r="AI62" s="133"/>
      <c r="AJ62" s="133"/>
    </row>
    <row r="63" spans="1:36" s="30" customFormat="1">
      <c r="A63" s="88">
        <f>IF(F63&lt;&gt;"",1+MAX($A$2:A62),"")</f>
        <v>36</v>
      </c>
      <c r="B63" s="89"/>
      <c r="C63" s="61"/>
      <c r="D63" s="94" t="s">
        <v>73</v>
      </c>
      <c r="E63" s="93">
        <f>ROUNDUP(E61*16,0)</f>
        <v>1536</v>
      </c>
      <c r="F63" s="77">
        <v>0.05</v>
      </c>
      <c r="G63" s="78">
        <f t="shared" si="72"/>
        <v>1612.8000000000002</v>
      </c>
      <c r="H63" s="79" t="s">
        <v>50</v>
      </c>
      <c r="I63" s="111">
        <v>1.0999999999999999E-2</v>
      </c>
      <c r="J63" s="103">
        <f t="shared" si="79"/>
        <v>17.7408</v>
      </c>
      <c r="K63" s="104">
        <f>'LABOR SHEET'!C$3</f>
        <v>32</v>
      </c>
      <c r="L63" s="112">
        <f t="shared" si="80"/>
        <v>0.35199999999999998</v>
      </c>
      <c r="M63" s="105">
        <f t="shared" si="81"/>
        <v>567.7056</v>
      </c>
      <c r="N63" s="118">
        <v>0.03</v>
      </c>
      <c r="O63" s="105">
        <f t="shared" si="82"/>
        <v>48.384</v>
      </c>
      <c r="P63" s="105">
        <f t="shared" si="83"/>
        <v>0.38200000000000001</v>
      </c>
      <c r="Q63" s="128">
        <f t="shared" si="84"/>
        <v>616.08960000000013</v>
      </c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133"/>
      <c r="AG63" s="133"/>
      <c r="AH63" s="133"/>
      <c r="AI63" s="133"/>
      <c r="AJ63" s="133"/>
    </row>
    <row r="64" spans="1:36" s="30" customFormat="1">
      <c r="A64" s="88">
        <f>IF(F64&lt;&gt;"",1+MAX($A$2:A63),"")</f>
        <v>37</v>
      </c>
      <c r="B64" s="89"/>
      <c r="C64" s="61"/>
      <c r="D64" s="94" t="s">
        <v>74</v>
      </c>
      <c r="E64" s="93">
        <f>E60*0.084</f>
        <v>256.2</v>
      </c>
      <c r="F64" s="60">
        <v>0.05</v>
      </c>
      <c r="G64" s="78">
        <f t="shared" si="72"/>
        <v>269.01</v>
      </c>
      <c r="H64" s="79" t="s">
        <v>75</v>
      </c>
      <c r="I64" s="111">
        <v>0.11</v>
      </c>
      <c r="J64" s="103">
        <f t="shared" si="79"/>
        <v>29.591100000000001</v>
      </c>
      <c r="K64" s="104">
        <f>'LABOR SHEET'!C$3</f>
        <v>32</v>
      </c>
      <c r="L64" s="112">
        <f t="shared" si="80"/>
        <v>3.52</v>
      </c>
      <c r="M64" s="105">
        <f t="shared" si="81"/>
        <v>946.91520000000003</v>
      </c>
      <c r="N64" s="112">
        <v>0.5</v>
      </c>
      <c r="O64" s="105">
        <f t="shared" si="82"/>
        <v>134.505</v>
      </c>
      <c r="P64" s="105">
        <f t="shared" si="83"/>
        <v>4.0199999999999996</v>
      </c>
      <c r="Q64" s="128">
        <f t="shared" si="84"/>
        <v>1081.4201999999998</v>
      </c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 s="133"/>
      <c r="AF64" s="133"/>
      <c r="AG64" s="133"/>
      <c r="AH64" s="133"/>
      <c r="AI64" s="133"/>
      <c r="AJ64" s="133"/>
    </row>
    <row r="65" spans="1:36" s="30" customFormat="1">
      <c r="A65" s="88" t="str">
        <f>IF(F65&lt;&gt;"",1+MAX($A$2:A64),"")</f>
        <v/>
      </c>
      <c r="B65" s="89"/>
      <c r="C65" s="61"/>
      <c r="D65" s="135"/>
      <c r="E65" s="136"/>
      <c r="F65" s="137"/>
      <c r="G65" s="138"/>
      <c r="H65" s="139"/>
      <c r="I65" s="111"/>
      <c r="J65" s="103"/>
      <c r="K65" s="104"/>
      <c r="L65" s="112"/>
      <c r="M65" s="105"/>
      <c r="N65" s="112"/>
      <c r="O65" s="105"/>
      <c r="P65" s="105"/>
      <c r="Q65" s="128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  <c r="AF65" s="133"/>
      <c r="AG65" s="133"/>
      <c r="AH65" s="133"/>
      <c r="AI65" s="133"/>
      <c r="AJ65" s="133"/>
    </row>
    <row r="66" spans="1:36" s="30" customFormat="1">
      <c r="A66" s="88">
        <f>IF(F66&lt;&gt;"",1+MAX($A$2:A65),"")</f>
        <v>38</v>
      </c>
      <c r="B66" s="89"/>
      <c r="C66" s="61"/>
      <c r="D66" s="92" t="s">
        <v>80</v>
      </c>
      <c r="E66" s="93">
        <v>111</v>
      </c>
      <c r="F66" s="77">
        <v>0.1</v>
      </c>
      <c r="G66" s="78">
        <f t="shared" ref="G66:G70" si="85">E66*(1+F66)</f>
        <v>122.10000000000001</v>
      </c>
      <c r="H66" s="87" t="s">
        <v>61</v>
      </c>
      <c r="I66" s="111">
        <v>2.7E-2</v>
      </c>
      <c r="J66" s="103">
        <f t="shared" ref="J66:J70" si="86">+I66*G66</f>
        <v>3.2967000000000004</v>
      </c>
      <c r="K66" s="104">
        <f>'LABOR SHEET'!C$3</f>
        <v>32</v>
      </c>
      <c r="L66" s="112">
        <f t="shared" si="80"/>
        <v>0.86399999999999999</v>
      </c>
      <c r="M66" s="105">
        <f t="shared" ref="M66:M70" si="87">K66*J66</f>
        <v>105.49440000000001</v>
      </c>
      <c r="N66" s="112">
        <v>0.49</v>
      </c>
      <c r="O66" s="105">
        <f t="shared" ref="O66:O70" si="88">N66*G66</f>
        <v>59.829000000000001</v>
      </c>
      <c r="P66" s="105">
        <f t="shared" ref="P66:P70" si="89">(I66*K66)+N66</f>
        <v>1.3540000000000001</v>
      </c>
      <c r="Q66" s="128">
        <f t="shared" ref="Q66:Q70" si="90">P66*G66</f>
        <v>165.32340000000002</v>
      </c>
      <c r="R66" s="133"/>
      <c r="S66" s="133"/>
      <c r="T66" s="133"/>
      <c r="U66" s="133"/>
      <c r="V66" s="133"/>
      <c r="W66" s="133"/>
      <c r="X66" s="133"/>
      <c r="Y66" s="133"/>
      <c r="Z66" s="133"/>
      <c r="AA66" s="133"/>
      <c r="AB66" s="133"/>
      <c r="AC66" s="133"/>
      <c r="AD66" s="133"/>
      <c r="AE66" s="133"/>
      <c r="AF66" s="133"/>
      <c r="AG66" s="133"/>
      <c r="AH66" s="133"/>
      <c r="AI66" s="133"/>
      <c r="AJ66" s="133"/>
    </row>
    <row r="67" spans="1:36" s="30" customFormat="1">
      <c r="A67" s="88">
        <f>IF(F67&lt;&gt;"",1+MAX($A$2:A66),"")</f>
        <v>39</v>
      </c>
      <c r="B67" s="89"/>
      <c r="C67" s="61"/>
      <c r="D67" s="94" t="s">
        <v>70</v>
      </c>
      <c r="E67" s="93">
        <f>ROUNDUP(E66/32,0)</f>
        <v>4</v>
      </c>
      <c r="F67" s="77">
        <v>0</v>
      </c>
      <c r="G67" s="78">
        <f t="shared" si="85"/>
        <v>4</v>
      </c>
      <c r="H67" s="79" t="s">
        <v>71</v>
      </c>
      <c r="I67" s="111"/>
      <c r="J67" s="103"/>
      <c r="K67" s="104"/>
      <c r="L67" s="112"/>
      <c r="M67" s="105"/>
      <c r="N67" s="112"/>
      <c r="O67" s="105"/>
      <c r="P67" s="105"/>
      <c r="Q67" s="128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</row>
    <row r="68" spans="1:36" s="30" customFormat="1">
      <c r="A68" s="88">
        <f>IF(F68&lt;&gt;"",1+MAX($A$2:A67),"")</f>
        <v>40</v>
      </c>
      <c r="B68" s="89"/>
      <c r="C68" s="61"/>
      <c r="D68" s="94" t="s">
        <v>72</v>
      </c>
      <c r="E68" s="93">
        <f>ROUNDUP(E66*1.33,0)</f>
        <v>148</v>
      </c>
      <c r="F68" s="77">
        <v>0</v>
      </c>
      <c r="G68" s="78">
        <f t="shared" si="85"/>
        <v>148</v>
      </c>
      <c r="H68" s="79" t="s">
        <v>71</v>
      </c>
      <c r="I68" s="111">
        <v>2E-3</v>
      </c>
      <c r="J68" s="103">
        <f t="shared" si="86"/>
        <v>0.29599999999999999</v>
      </c>
      <c r="K68" s="104">
        <f>'LABOR SHEET'!C$3</f>
        <v>32</v>
      </c>
      <c r="L68" s="112">
        <f t="shared" ref="L68:L70" si="91">I68*K68</f>
        <v>6.4000000000000001E-2</v>
      </c>
      <c r="M68" s="105">
        <f t="shared" si="87"/>
        <v>9.4719999999999995</v>
      </c>
      <c r="N68" s="184">
        <v>0.06</v>
      </c>
      <c r="O68" s="105">
        <f t="shared" si="88"/>
        <v>8.879999999999999</v>
      </c>
      <c r="P68" s="105">
        <f t="shared" si="89"/>
        <v>0.124</v>
      </c>
      <c r="Q68" s="128">
        <f t="shared" si="90"/>
        <v>18.352</v>
      </c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</row>
    <row r="69" spans="1:36" s="30" customFormat="1">
      <c r="A69" s="88">
        <f>IF(F69&lt;&gt;"",1+MAX($A$2:A68),"")</f>
        <v>41</v>
      </c>
      <c r="B69" s="89"/>
      <c r="C69" s="61"/>
      <c r="D69" s="94" t="s">
        <v>73</v>
      </c>
      <c r="E69" s="93">
        <f>ROUNDUP(E67*16,0)</f>
        <v>64</v>
      </c>
      <c r="F69" s="77">
        <v>0.05</v>
      </c>
      <c r="G69" s="78">
        <f t="shared" si="85"/>
        <v>67.2</v>
      </c>
      <c r="H69" s="79" t="s">
        <v>50</v>
      </c>
      <c r="I69" s="111">
        <v>1.0999999999999999E-2</v>
      </c>
      <c r="J69" s="103">
        <f t="shared" si="86"/>
        <v>0.73919999999999997</v>
      </c>
      <c r="K69" s="104">
        <f>'LABOR SHEET'!C$3</f>
        <v>32</v>
      </c>
      <c r="L69" s="112">
        <f t="shared" si="91"/>
        <v>0.35199999999999998</v>
      </c>
      <c r="M69" s="105">
        <f t="shared" si="87"/>
        <v>23.654399999999999</v>
      </c>
      <c r="N69" s="118">
        <v>0.03</v>
      </c>
      <c r="O69" s="105">
        <f t="shared" si="88"/>
        <v>2.016</v>
      </c>
      <c r="P69" s="105">
        <f t="shared" si="89"/>
        <v>0.38200000000000001</v>
      </c>
      <c r="Q69" s="128">
        <f t="shared" si="90"/>
        <v>25.670400000000001</v>
      </c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</row>
    <row r="70" spans="1:36" s="30" customFormat="1">
      <c r="A70" s="88">
        <f>IF(F70&lt;&gt;"",1+MAX($A$2:A69),"")</f>
        <v>42</v>
      </c>
      <c r="B70" s="89"/>
      <c r="C70" s="61"/>
      <c r="D70" s="94" t="s">
        <v>74</v>
      </c>
      <c r="E70" s="93">
        <f>E66*0.084</f>
        <v>9.3239999999999998</v>
      </c>
      <c r="F70" s="60">
        <v>0.05</v>
      </c>
      <c r="G70" s="78">
        <f t="shared" si="85"/>
        <v>9.7902000000000005</v>
      </c>
      <c r="H70" s="79" t="s">
        <v>75</v>
      </c>
      <c r="I70" s="111">
        <v>0.11</v>
      </c>
      <c r="J70" s="103">
        <f t="shared" si="86"/>
        <v>1.0769220000000002</v>
      </c>
      <c r="K70" s="104">
        <f>'LABOR SHEET'!C$3</f>
        <v>32</v>
      </c>
      <c r="L70" s="112">
        <f t="shared" si="91"/>
        <v>3.52</v>
      </c>
      <c r="M70" s="105">
        <f t="shared" si="87"/>
        <v>34.461504000000005</v>
      </c>
      <c r="N70" s="112">
        <v>0.5</v>
      </c>
      <c r="O70" s="105">
        <f t="shared" si="88"/>
        <v>4.8951000000000002</v>
      </c>
      <c r="P70" s="105">
        <f t="shared" si="89"/>
        <v>4.0199999999999996</v>
      </c>
      <c r="Q70" s="128">
        <f t="shared" si="90"/>
        <v>39.356603999999997</v>
      </c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</row>
    <row r="71" spans="1:36" s="30" customFormat="1">
      <c r="A71" s="88" t="str">
        <f>IF(F71&lt;&gt;"",1+MAX($A$2:A70),"")</f>
        <v/>
      </c>
      <c r="B71" s="89"/>
      <c r="C71" s="61"/>
      <c r="D71" s="135"/>
      <c r="E71" s="136"/>
      <c r="F71" s="137"/>
      <c r="G71" s="138"/>
      <c r="H71" s="139"/>
      <c r="I71" s="185"/>
      <c r="J71" s="186"/>
      <c r="K71" s="187"/>
      <c r="L71" s="188"/>
      <c r="M71" s="188"/>
      <c r="N71" s="188"/>
      <c r="O71" s="188"/>
      <c r="P71" s="188"/>
      <c r="Q71" s="200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</row>
    <row r="72" spans="1:36" s="27" customFormat="1">
      <c r="A72" s="80" t="str">
        <f>IF(F72&lt;&gt;"",1+MAX($A$2:A71),"")</f>
        <v/>
      </c>
      <c r="B72" s="66"/>
      <c r="C72" s="67"/>
      <c r="D72" s="68" t="s">
        <v>81</v>
      </c>
      <c r="E72" s="69"/>
      <c r="F72" s="69"/>
      <c r="G72" s="69"/>
      <c r="H72" s="69"/>
      <c r="I72" s="69"/>
      <c r="J72" s="113"/>
      <c r="K72" s="113"/>
      <c r="L72" s="114"/>
      <c r="M72" s="115"/>
      <c r="N72" s="114"/>
      <c r="O72" s="110"/>
      <c r="P72" s="110"/>
      <c r="Q72" s="123">
        <f>SUM(Q40:Q70)</f>
        <v>118610.92096399999</v>
      </c>
      <c r="R72" s="124"/>
    </row>
    <row r="73" spans="1:36" s="30" customFormat="1">
      <c r="A73" s="88" t="str">
        <f>IF(F73&lt;&gt;"",1+MAX($A$2:A72),"")</f>
        <v/>
      </c>
      <c r="B73" s="89"/>
      <c r="C73" s="79"/>
      <c r="D73" s="95"/>
      <c r="E73" s="93"/>
      <c r="F73" s="77"/>
      <c r="G73" s="78"/>
      <c r="H73" s="79"/>
      <c r="I73" s="102"/>
      <c r="J73" s="103"/>
      <c r="K73" s="104"/>
      <c r="L73" s="105"/>
      <c r="M73" s="105"/>
      <c r="N73" s="105"/>
      <c r="O73" s="105"/>
      <c r="P73" s="105"/>
      <c r="Q73" s="132"/>
    </row>
    <row r="74" spans="1:36" s="30" customFormat="1">
      <c r="A74" s="88" t="str">
        <f>IF(F74&lt;&gt;"",1+MAX($A$2:A73),"")</f>
        <v/>
      </c>
      <c r="B74" s="89"/>
      <c r="C74" s="79"/>
      <c r="D74" s="76" t="s">
        <v>82</v>
      </c>
      <c r="E74" s="140"/>
      <c r="F74" s="77"/>
      <c r="G74" s="78"/>
      <c r="H74" s="79"/>
      <c r="I74" s="102"/>
      <c r="J74" s="103"/>
      <c r="K74" s="104"/>
      <c r="L74" s="105"/>
      <c r="M74" s="105"/>
      <c r="N74" s="105"/>
      <c r="O74" s="105"/>
      <c r="P74" s="105"/>
      <c r="Q74" s="128"/>
    </row>
    <row r="75" spans="1:36" s="30" customFormat="1">
      <c r="A75" s="88">
        <f>IF(F75&lt;&gt;"",1+MAX($A$2:A74),"")</f>
        <v>43</v>
      </c>
      <c r="B75" s="89"/>
      <c r="C75" s="79"/>
      <c r="D75" s="141" t="s">
        <v>83</v>
      </c>
      <c r="E75" s="61">
        <v>19816</v>
      </c>
      <c r="F75" s="77">
        <v>0.1</v>
      </c>
      <c r="G75" s="78">
        <f>E75*(1+F75)</f>
        <v>21797.600000000002</v>
      </c>
      <c r="H75" s="79" t="s">
        <v>61</v>
      </c>
      <c r="I75" s="102">
        <v>3.7999999999999999E-2</v>
      </c>
      <c r="J75" s="103">
        <f>+I75*G75</f>
        <v>828.30880000000002</v>
      </c>
      <c r="K75" s="104">
        <f>'LABOR SHEET'!C$5</f>
        <v>22.5</v>
      </c>
      <c r="L75" s="105">
        <f>I75*K75</f>
        <v>0.85499999999999998</v>
      </c>
      <c r="M75" s="105">
        <f>K75*J75</f>
        <v>18636.948</v>
      </c>
      <c r="N75" s="105">
        <v>4.0999999999999996</v>
      </c>
      <c r="O75" s="105">
        <f>N75*G75</f>
        <v>89370.16</v>
      </c>
      <c r="P75" s="105">
        <f>(I75*K75)+N75</f>
        <v>4.9550000000000001</v>
      </c>
      <c r="Q75" s="128">
        <f>P75*G75</f>
        <v>108007.10800000001</v>
      </c>
    </row>
    <row r="76" spans="1:36" s="30" customFormat="1">
      <c r="A76" s="88" t="str">
        <f>IF(F76&lt;&gt;"",1+MAX($A$2:A75),"")</f>
        <v/>
      </c>
      <c r="B76" s="89"/>
      <c r="C76" s="79"/>
      <c r="D76" s="95"/>
      <c r="E76" s="93"/>
      <c r="F76" s="77"/>
      <c r="G76" s="78"/>
      <c r="H76" s="79"/>
      <c r="I76" s="102"/>
      <c r="J76" s="103"/>
      <c r="K76" s="104"/>
      <c r="L76" s="105"/>
      <c r="M76" s="105"/>
      <c r="N76" s="105"/>
      <c r="O76" s="105"/>
      <c r="P76" s="105"/>
      <c r="Q76" s="132"/>
    </row>
    <row r="77" spans="1:36" s="27" customFormat="1">
      <c r="A77" s="80" t="str">
        <f>IF(F77&lt;&gt;"",1+MAX($A$2:A76),"")</f>
        <v/>
      </c>
      <c r="B77" s="66"/>
      <c r="C77" s="67"/>
      <c r="D77" s="68" t="s">
        <v>84</v>
      </c>
      <c r="E77" s="69"/>
      <c r="F77" s="69"/>
      <c r="G77" s="69"/>
      <c r="H77" s="69"/>
      <c r="I77" s="69"/>
      <c r="J77" s="113"/>
      <c r="K77" s="113"/>
      <c r="L77" s="114"/>
      <c r="M77" s="115"/>
      <c r="N77" s="114"/>
      <c r="O77" s="110"/>
      <c r="P77" s="110"/>
      <c r="Q77" s="123">
        <f>SUM(Q75)</f>
        <v>108007.10800000001</v>
      </c>
      <c r="R77" s="124"/>
    </row>
    <row r="78" spans="1:36" s="30" customFormat="1">
      <c r="A78" s="88" t="str">
        <f>IF(F78&lt;&gt;"",1+MAX($A$2:A77),"")</f>
        <v/>
      </c>
      <c r="B78" s="89"/>
      <c r="C78" s="79"/>
      <c r="D78" s="95"/>
      <c r="E78" s="93"/>
      <c r="F78" s="77"/>
      <c r="G78" s="78"/>
      <c r="H78" s="79"/>
      <c r="I78" s="102"/>
      <c r="J78" s="103"/>
      <c r="K78" s="104"/>
      <c r="L78" s="105"/>
      <c r="M78" s="105"/>
      <c r="N78" s="105"/>
      <c r="O78" s="105"/>
      <c r="P78" s="105"/>
      <c r="Q78" s="132"/>
    </row>
    <row r="79" spans="1:36" s="30" customFormat="1" ht="18">
      <c r="A79" s="88" t="str">
        <f>IF(F79&lt;&gt;"",1+MAX($A$2:A78),"")</f>
        <v/>
      </c>
      <c r="B79" s="89"/>
      <c r="C79" s="79"/>
      <c r="D79" s="142" t="s">
        <v>85</v>
      </c>
      <c r="E79" s="93"/>
      <c r="F79" s="77"/>
      <c r="G79" s="78"/>
      <c r="H79" s="79"/>
      <c r="I79" s="102"/>
      <c r="J79" s="103"/>
      <c r="K79" s="104"/>
      <c r="L79" s="105"/>
      <c r="M79" s="105"/>
      <c r="N79" s="105"/>
      <c r="O79" s="105"/>
      <c r="P79" s="105"/>
      <c r="Q79" s="132"/>
    </row>
    <row r="80" spans="1:36" s="30" customFormat="1">
      <c r="A80" s="88" t="str">
        <f>IF(F80&lt;&gt;"",1+MAX($A$2:A79),"")</f>
        <v/>
      </c>
      <c r="B80" s="89"/>
      <c r="C80" s="79"/>
      <c r="D80" s="76" t="s">
        <v>86</v>
      </c>
      <c r="E80" s="140"/>
      <c r="F80" s="77"/>
      <c r="G80" s="78"/>
      <c r="H80" s="79"/>
      <c r="I80" s="102"/>
      <c r="J80" s="103"/>
      <c r="K80" s="104"/>
      <c r="L80" s="105"/>
      <c r="M80" s="105"/>
      <c r="N80" s="105"/>
      <c r="O80" s="105"/>
      <c r="P80" s="105"/>
      <c r="Q80" s="128"/>
    </row>
    <row r="81" spans="1:36" s="30" customFormat="1">
      <c r="A81" s="88">
        <f>IF(F81&lt;&gt;"",1+MAX($A$2:A80),"")</f>
        <v>44</v>
      </c>
      <c r="B81" s="89"/>
      <c r="C81" s="79"/>
      <c r="D81" s="141" t="s">
        <v>87</v>
      </c>
      <c r="E81" s="61">
        <v>62418.94</v>
      </c>
      <c r="F81" s="77">
        <v>0.1</v>
      </c>
      <c r="G81" s="78">
        <f>E81*(1+F81)</f>
        <v>68660.834000000003</v>
      </c>
      <c r="H81" s="79" t="s">
        <v>61</v>
      </c>
      <c r="I81" s="102">
        <v>2.5999999999999999E-2</v>
      </c>
      <c r="J81" s="103">
        <f>+I81*G81</f>
        <v>1785.1816839999999</v>
      </c>
      <c r="K81" s="104">
        <f>'LABOR SHEET'!C$4</f>
        <v>20.7</v>
      </c>
      <c r="L81" s="105">
        <f>I81*K81</f>
        <v>0.53820000000000001</v>
      </c>
      <c r="M81" s="105">
        <f>K81*J81</f>
        <v>36953.2608588</v>
      </c>
      <c r="N81" s="105">
        <v>0.55000000000000004</v>
      </c>
      <c r="O81" s="105">
        <f>N81*G81</f>
        <v>37763.458700000003</v>
      </c>
      <c r="P81" s="105">
        <f>(I81*K81)+N81</f>
        <v>1.0882000000000001</v>
      </c>
      <c r="Q81" s="128">
        <f>P81*G81</f>
        <v>74716.719558800003</v>
      </c>
    </row>
    <row r="82" spans="1:36" s="30" customFormat="1">
      <c r="A82" s="88" t="str">
        <f>IF(F82&lt;&gt;"",1+MAX($A$2:A81),"")</f>
        <v/>
      </c>
      <c r="B82" s="89"/>
      <c r="C82" s="79"/>
      <c r="D82" s="95"/>
      <c r="E82" s="93"/>
      <c r="F82" s="77"/>
      <c r="G82" s="78"/>
      <c r="H82" s="79"/>
      <c r="I82" s="102"/>
      <c r="J82" s="103"/>
      <c r="K82" s="104"/>
      <c r="L82" s="105"/>
      <c r="M82" s="105"/>
      <c r="N82" s="105"/>
      <c r="O82" s="105"/>
      <c r="P82" s="105"/>
      <c r="Q82" s="132"/>
    </row>
    <row r="83" spans="1:36" s="30" customFormat="1" ht="14.7" customHeight="1">
      <c r="A83" s="88" t="str">
        <f>IF(F83&lt;&gt;"",1+MAX($A$2:A82),"")</f>
        <v/>
      </c>
      <c r="B83" s="89"/>
      <c r="C83" s="61"/>
      <c r="D83" s="76" t="s">
        <v>88</v>
      </c>
      <c r="E83" s="90"/>
      <c r="F83" s="90"/>
      <c r="G83" s="90"/>
      <c r="H83" s="90"/>
      <c r="I83" s="102"/>
      <c r="J83" s="79"/>
      <c r="K83" s="79"/>
      <c r="L83" s="105"/>
      <c r="M83" s="105"/>
      <c r="N83" s="105"/>
      <c r="O83" s="105"/>
      <c r="P83" s="105"/>
      <c r="Q83" s="132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</row>
    <row r="84" spans="1:36" s="30" customFormat="1">
      <c r="A84" s="88">
        <f>IF(F84&lt;&gt;"",1+MAX($A$2:A83),"")</f>
        <v>45</v>
      </c>
      <c r="B84" s="89"/>
      <c r="C84" s="79"/>
      <c r="D84" s="95" t="s">
        <v>89</v>
      </c>
      <c r="E84" s="93">
        <f>E60</f>
        <v>3050</v>
      </c>
      <c r="F84" s="77">
        <v>0.1</v>
      </c>
      <c r="G84" s="78">
        <f t="shared" ref="G84" si="92">E84*(1+F84)</f>
        <v>3355.0000000000005</v>
      </c>
      <c r="H84" s="79" t="s">
        <v>61</v>
      </c>
      <c r="I84" s="111">
        <v>2.8000000000000001E-2</v>
      </c>
      <c r="J84" s="103">
        <f t="shared" ref="J84" si="93">+I84*G84</f>
        <v>93.940000000000012</v>
      </c>
      <c r="K84" s="104">
        <f>'LABOR SHEET'!C$4</f>
        <v>20.7</v>
      </c>
      <c r="L84" s="105">
        <f t="shared" ref="L84" si="94">I84*K84</f>
        <v>0.5796</v>
      </c>
      <c r="M84" s="105">
        <f t="shared" ref="M84" si="95">K84*J84</f>
        <v>1944.5580000000002</v>
      </c>
      <c r="N84" s="112">
        <v>0.55000000000000004</v>
      </c>
      <c r="O84" s="105">
        <f t="shared" ref="O84" si="96">N84*G84</f>
        <v>1845.2500000000005</v>
      </c>
      <c r="P84" s="105">
        <f t="shared" ref="P84" si="97">(I84*K84)+N84</f>
        <v>1.1295999999999999</v>
      </c>
      <c r="Q84" s="128">
        <f t="shared" ref="Q84" si="98">P84*G84</f>
        <v>3789.8080000000004</v>
      </c>
    </row>
    <row r="85" spans="1:36" s="30" customFormat="1">
      <c r="A85" s="88">
        <f>IF(F85&lt;&gt;"",1+MAX($A$2:A84),"")</f>
        <v>46</v>
      </c>
      <c r="B85" s="89"/>
      <c r="C85" s="79"/>
      <c r="D85" s="95" t="s">
        <v>90</v>
      </c>
      <c r="E85" s="93">
        <v>111</v>
      </c>
      <c r="F85" s="77">
        <v>0.1</v>
      </c>
      <c r="G85" s="78">
        <f t="shared" ref="G85" si="99">E85*(1+F85)</f>
        <v>122.10000000000001</v>
      </c>
      <c r="H85" s="79" t="s">
        <v>61</v>
      </c>
      <c r="I85" s="111">
        <v>2.8000000000000001E-2</v>
      </c>
      <c r="J85" s="103">
        <f t="shared" ref="J85" si="100">+I85*G85</f>
        <v>3.4188000000000005</v>
      </c>
      <c r="K85" s="104">
        <f>'LABOR SHEET'!C$4</f>
        <v>20.7</v>
      </c>
      <c r="L85" s="105">
        <f t="shared" ref="L85" si="101">I85*K85</f>
        <v>0.5796</v>
      </c>
      <c r="M85" s="105">
        <f t="shared" ref="M85" si="102">K85*J85</f>
        <v>70.769160000000014</v>
      </c>
      <c r="N85" s="112">
        <v>0.55000000000000004</v>
      </c>
      <c r="O85" s="105">
        <f t="shared" ref="O85" si="103">N85*G85</f>
        <v>67.155000000000015</v>
      </c>
      <c r="P85" s="105">
        <f t="shared" ref="P85" si="104">(I85*K85)+N85</f>
        <v>1.1295999999999999</v>
      </c>
      <c r="Q85" s="128">
        <f t="shared" ref="Q85" si="105">P85*G85</f>
        <v>137.92416</v>
      </c>
    </row>
    <row r="86" spans="1:36" s="30" customFormat="1">
      <c r="A86" s="88">
        <f>IF(F86&lt;&gt;"",1+MAX($A$2:A85),"")</f>
        <v>47</v>
      </c>
      <c r="B86" s="89"/>
      <c r="C86" s="79"/>
      <c r="D86" s="95" t="s">
        <v>91</v>
      </c>
      <c r="E86" s="93">
        <v>746</v>
      </c>
      <c r="F86" s="77">
        <v>0.1</v>
      </c>
      <c r="G86" s="78">
        <f t="shared" ref="G86" si="106">E86*(1+F86)</f>
        <v>820.6</v>
      </c>
      <c r="H86" s="79" t="s">
        <v>61</v>
      </c>
      <c r="I86" s="111">
        <v>2.8000000000000001E-2</v>
      </c>
      <c r="J86" s="103">
        <f t="shared" ref="J86" si="107">+I86*G86</f>
        <v>22.976800000000001</v>
      </c>
      <c r="K86" s="104">
        <f>'LABOR SHEET'!C$4</f>
        <v>20.7</v>
      </c>
      <c r="L86" s="105">
        <f t="shared" ref="L86" si="108">I86*K86</f>
        <v>0.5796</v>
      </c>
      <c r="M86" s="105">
        <f t="shared" ref="M86" si="109">K86*J86</f>
        <v>475.61975999999999</v>
      </c>
      <c r="N86" s="112">
        <v>0.55000000000000004</v>
      </c>
      <c r="O86" s="105">
        <f t="shared" ref="O86" si="110">N86*G86</f>
        <v>451.33000000000004</v>
      </c>
      <c r="P86" s="105">
        <f t="shared" ref="P86" si="111">(I86*K86)+N86</f>
        <v>1.1295999999999999</v>
      </c>
      <c r="Q86" s="128">
        <f t="shared" ref="Q86" si="112">P86*G86</f>
        <v>926.94975999999997</v>
      </c>
    </row>
    <row r="87" spans="1:36" s="30" customFormat="1">
      <c r="A87" s="88" t="str">
        <f>IF(F87&lt;&gt;"",1+MAX($A$2:A86),"")</f>
        <v/>
      </c>
      <c r="B87" s="89"/>
      <c r="C87" s="79"/>
      <c r="D87" s="95"/>
      <c r="E87" s="93"/>
      <c r="F87" s="77"/>
      <c r="G87" s="78"/>
      <c r="H87" s="79"/>
      <c r="I87" s="102"/>
      <c r="J87" s="103"/>
      <c r="K87" s="104"/>
      <c r="L87" s="105"/>
      <c r="M87" s="105"/>
      <c r="N87" s="105"/>
      <c r="O87" s="105"/>
      <c r="P87" s="105"/>
      <c r="Q87" s="128"/>
    </row>
    <row r="88" spans="1:36" s="30" customFormat="1">
      <c r="A88" s="88" t="str">
        <f>IF(F88&lt;&gt;"",1+MAX($A$2:A87),"")</f>
        <v/>
      </c>
      <c r="B88" s="89"/>
      <c r="C88" s="79"/>
      <c r="D88" s="76" t="s">
        <v>92</v>
      </c>
      <c r="E88" s="93"/>
      <c r="F88" s="77"/>
      <c r="G88" s="78"/>
      <c r="H88" s="79"/>
      <c r="I88" s="102"/>
      <c r="J88" s="103"/>
      <c r="K88" s="104"/>
      <c r="L88" s="105"/>
      <c r="M88" s="105"/>
      <c r="N88" s="105"/>
      <c r="O88" s="105"/>
      <c r="P88" s="105"/>
      <c r="Q88" s="128"/>
    </row>
    <row r="89" spans="1:36" s="30" customFormat="1">
      <c r="A89" s="88">
        <f>IF(F89&lt;&gt;"",1+MAX($A$2:A88),"")</f>
        <v>48</v>
      </c>
      <c r="B89" s="89"/>
      <c r="C89" s="79"/>
      <c r="D89" s="95" t="s">
        <v>93</v>
      </c>
      <c r="E89" s="93">
        <v>95</v>
      </c>
      <c r="F89" s="77">
        <v>0</v>
      </c>
      <c r="G89" s="78">
        <f t="shared" ref="G89" si="113">E89*(1+F89)</f>
        <v>95</v>
      </c>
      <c r="H89" s="79" t="s">
        <v>71</v>
      </c>
      <c r="I89" s="111">
        <v>1.1000000000000001</v>
      </c>
      <c r="J89" s="103">
        <f t="shared" ref="J89" si="114">+I89*G89</f>
        <v>104.50000000000001</v>
      </c>
      <c r="K89" s="104">
        <f>'LABOR SHEET'!C$4</f>
        <v>20.7</v>
      </c>
      <c r="L89" s="105">
        <f t="shared" ref="L89" si="115">I89*K89</f>
        <v>22.77</v>
      </c>
      <c r="M89" s="105">
        <f t="shared" ref="M89" si="116">K89*J89</f>
        <v>2163.15</v>
      </c>
      <c r="N89" s="112">
        <v>35</v>
      </c>
      <c r="O89" s="105">
        <f t="shared" ref="O89" si="117">N89*G89</f>
        <v>3325</v>
      </c>
      <c r="P89" s="105">
        <f t="shared" ref="P89" si="118">(I89*K89)+N89</f>
        <v>57.769999999999996</v>
      </c>
      <c r="Q89" s="128">
        <f t="shared" ref="Q89" si="119">P89*G89</f>
        <v>5488.15</v>
      </c>
    </row>
    <row r="90" spans="1:36" s="30" customFormat="1">
      <c r="A90" s="143">
        <f>IF(F90&lt;&gt;"",1+MAX($A$2:A89),"")</f>
        <v>49</v>
      </c>
      <c r="B90" s="89"/>
      <c r="C90" s="144"/>
      <c r="D90" s="95" t="s">
        <v>94</v>
      </c>
      <c r="E90" s="145">
        <v>14</v>
      </c>
      <c r="F90" s="77">
        <v>0</v>
      </c>
      <c r="G90" s="78">
        <f t="shared" ref="G90" si="120">E90*(1+F90)</f>
        <v>14</v>
      </c>
      <c r="H90" s="79" t="s">
        <v>71</v>
      </c>
      <c r="I90" s="111">
        <v>2.1</v>
      </c>
      <c r="J90" s="103">
        <f t="shared" ref="J90" si="121">+I90*G90</f>
        <v>29.400000000000002</v>
      </c>
      <c r="K90" s="104">
        <f>'LABOR SHEET'!C$4</f>
        <v>20.7</v>
      </c>
      <c r="L90" s="105">
        <f t="shared" ref="L90" si="122">I90*K90</f>
        <v>43.47</v>
      </c>
      <c r="M90" s="105">
        <f t="shared" ref="M90" si="123">K90*J90</f>
        <v>608.58000000000004</v>
      </c>
      <c r="N90" s="112">
        <v>60</v>
      </c>
      <c r="O90" s="105">
        <f t="shared" ref="O90" si="124">N90*G90</f>
        <v>840</v>
      </c>
      <c r="P90" s="105">
        <f t="shared" ref="P90" si="125">(I90*K90)+N90</f>
        <v>103.47</v>
      </c>
      <c r="Q90" s="128">
        <f t="shared" ref="Q90" si="126">P90*G90</f>
        <v>1448.58</v>
      </c>
    </row>
    <row r="91" spans="1:36" s="30" customFormat="1">
      <c r="A91" s="143" t="str">
        <f>IF(F91&lt;&gt;"",1+MAX($A$2:A90),"")</f>
        <v/>
      </c>
      <c r="B91" s="89"/>
      <c r="C91" s="144"/>
      <c r="D91" s="95"/>
      <c r="E91" s="145"/>
      <c r="F91" s="146"/>
      <c r="G91" s="147"/>
      <c r="H91" s="148"/>
      <c r="I91" s="106"/>
      <c r="J91" s="103"/>
      <c r="K91" s="104"/>
      <c r="L91" s="109"/>
      <c r="M91" s="109"/>
      <c r="N91" s="109"/>
      <c r="O91" s="109"/>
      <c r="P91" s="109"/>
      <c r="Q91" s="128"/>
    </row>
    <row r="92" spans="1:36" s="30" customFormat="1">
      <c r="A92" s="143" t="str">
        <f>IF(F92&lt;&gt;"",1+MAX($A$2:A91),"")</f>
        <v/>
      </c>
      <c r="B92" s="89"/>
      <c r="C92" s="144"/>
      <c r="D92" s="76" t="s">
        <v>95</v>
      </c>
      <c r="E92" s="145"/>
      <c r="F92" s="146"/>
      <c r="G92" s="147"/>
      <c r="H92" s="148"/>
      <c r="I92" s="106"/>
      <c r="J92" s="103"/>
      <c r="K92" s="104"/>
      <c r="L92" s="109"/>
      <c r="M92" s="109"/>
      <c r="N92" s="109"/>
      <c r="O92" s="109"/>
      <c r="P92" s="109"/>
      <c r="Q92" s="128"/>
    </row>
    <row r="93" spans="1:36" s="30" customFormat="1">
      <c r="A93" s="143">
        <f>IF(F93&lt;&gt;"",1+MAX($A$2:A92),"")</f>
        <v>50</v>
      </c>
      <c r="B93" s="89"/>
      <c r="C93" s="144"/>
      <c r="D93" s="95" t="s">
        <v>96</v>
      </c>
      <c r="E93" s="145">
        <f>34*95+40*14</f>
        <v>3790</v>
      </c>
      <c r="F93" s="77">
        <v>0.05</v>
      </c>
      <c r="G93" s="78">
        <f t="shared" ref="G93" si="127">E93*(1+F93)</f>
        <v>3979.5</v>
      </c>
      <c r="H93" s="79" t="s">
        <v>50</v>
      </c>
      <c r="I93" s="111">
        <v>1.7999999999999999E-2</v>
      </c>
      <c r="J93" s="103">
        <f t="shared" ref="J93" si="128">+I93*G93</f>
        <v>71.631</v>
      </c>
      <c r="K93" s="104">
        <f>'LABOR SHEET'!C$4</f>
        <v>20.7</v>
      </c>
      <c r="L93" s="105">
        <f t="shared" ref="L93" si="129">I93*K93</f>
        <v>0.37259999999999999</v>
      </c>
      <c r="M93" s="105">
        <f t="shared" ref="M93" si="130">K93*J93</f>
        <v>1482.7617</v>
      </c>
      <c r="N93" s="112">
        <v>1</v>
      </c>
      <c r="O93" s="105">
        <f t="shared" ref="O93" si="131">N93*G93</f>
        <v>3979.5</v>
      </c>
      <c r="P93" s="105">
        <f t="shared" ref="P93" si="132">(I93*K93)+N93</f>
        <v>1.3726</v>
      </c>
      <c r="Q93" s="128">
        <f t="shared" ref="Q93" si="133">P93*G93</f>
        <v>5462.2617</v>
      </c>
    </row>
    <row r="94" spans="1:36" s="30" customFormat="1">
      <c r="A94" s="143" t="str">
        <f>IF(F94&lt;&gt;"",1+MAX($A$2:A93),"")</f>
        <v/>
      </c>
      <c r="B94" s="89"/>
      <c r="C94" s="144"/>
      <c r="D94" s="95"/>
      <c r="E94" s="145"/>
      <c r="F94" s="146"/>
      <c r="G94" s="147"/>
      <c r="H94" s="148"/>
      <c r="I94" s="106"/>
      <c r="J94" s="103"/>
      <c r="K94" s="104"/>
      <c r="L94" s="109"/>
      <c r="M94" s="109"/>
      <c r="N94" s="109"/>
      <c r="O94" s="109"/>
      <c r="P94" s="109"/>
      <c r="Q94" s="201"/>
    </row>
    <row r="95" spans="1:36" s="30" customFormat="1">
      <c r="A95" s="143" t="str">
        <f>IF(F95&lt;&gt;"",1+MAX($A$2:A94),"")</f>
        <v/>
      </c>
      <c r="B95" s="89"/>
      <c r="C95" s="144"/>
      <c r="D95" s="76" t="s">
        <v>97</v>
      </c>
      <c r="E95" s="145"/>
      <c r="F95" s="146"/>
      <c r="G95" s="147"/>
      <c r="H95" s="148"/>
      <c r="I95" s="106"/>
      <c r="J95" s="103"/>
      <c r="K95" s="104"/>
      <c r="L95" s="109"/>
      <c r="M95" s="109"/>
      <c r="N95" s="109"/>
      <c r="O95" s="109"/>
      <c r="P95" s="109"/>
      <c r="Q95" s="128"/>
    </row>
    <row r="96" spans="1:36" s="30" customFormat="1">
      <c r="A96" s="143">
        <f>IF(F96&lt;&gt;"",1+MAX($A$2:A95),"")</f>
        <v>51</v>
      </c>
      <c r="B96" s="89"/>
      <c r="C96" s="144"/>
      <c r="D96" s="95" t="s">
        <v>98</v>
      </c>
      <c r="E96" s="145">
        <v>99</v>
      </c>
      <c r="F96" s="77">
        <v>0.05</v>
      </c>
      <c r="G96" s="78">
        <f t="shared" ref="G96" si="134">E96*(1+F96)</f>
        <v>103.95</v>
      </c>
      <c r="H96" s="79" t="s">
        <v>50</v>
      </c>
      <c r="I96" s="102">
        <v>3.5000000000000003E-2</v>
      </c>
      <c r="J96" s="103">
        <f t="shared" ref="J96" si="135">+I96*G96</f>
        <v>3.6382500000000007</v>
      </c>
      <c r="K96" s="104">
        <f>'LABOR SHEET'!C$4</f>
        <v>20.7</v>
      </c>
      <c r="L96" s="105">
        <f t="shared" ref="L96" si="136">I96*K96</f>
        <v>0.72450000000000003</v>
      </c>
      <c r="M96" s="105">
        <f t="shared" ref="M96" si="137">K96*J96</f>
        <v>75.311775000000011</v>
      </c>
      <c r="N96" s="105">
        <v>1.54</v>
      </c>
      <c r="O96" s="105">
        <f t="shared" ref="O96" si="138">N96*G96</f>
        <v>160.083</v>
      </c>
      <c r="P96" s="105">
        <f t="shared" ref="P96" si="139">(I96*K96)+N96</f>
        <v>2.2645</v>
      </c>
      <c r="Q96" s="128">
        <f t="shared" ref="Q96" si="140">P96*G96</f>
        <v>235.39477500000001</v>
      </c>
    </row>
    <row r="97" spans="1:36" s="30" customFormat="1">
      <c r="A97" s="143" t="str">
        <f>IF(F97&lt;&gt;"",1+MAX($A$2:A96),"")</f>
        <v/>
      </c>
      <c r="B97" s="89"/>
      <c r="C97" s="144"/>
      <c r="D97" s="95"/>
      <c r="E97" s="145"/>
      <c r="F97" s="146"/>
      <c r="G97" s="147"/>
      <c r="H97" s="148"/>
      <c r="I97" s="106"/>
      <c r="J97" s="103"/>
      <c r="K97" s="104"/>
      <c r="L97" s="109"/>
      <c r="M97" s="109"/>
      <c r="N97" s="109"/>
      <c r="O97" s="109"/>
      <c r="P97" s="109"/>
      <c r="Q97" s="202"/>
    </row>
    <row r="98" spans="1:36" s="30" customFormat="1" ht="16.95" customHeight="1">
      <c r="A98" s="88" t="str">
        <f>IF(F98&lt;&gt;"",1+MAX($A$2:A97),"")</f>
        <v/>
      </c>
      <c r="B98" s="149"/>
      <c r="C98" s="150"/>
      <c r="D98" s="68" t="s">
        <v>99</v>
      </c>
      <c r="E98" s="151"/>
      <c r="F98" s="151"/>
      <c r="G98" s="152"/>
      <c r="H98" s="151"/>
      <c r="I98" s="151"/>
      <c r="J98" s="113"/>
      <c r="K98" s="113"/>
      <c r="L98" s="189"/>
      <c r="M98" s="115"/>
      <c r="N98" s="189"/>
      <c r="O98" s="189"/>
      <c r="P98" s="190"/>
      <c r="Q98" s="203">
        <f>SUM(Q79:Q97)</f>
        <v>92205.787953799998</v>
      </c>
    </row>
    <row r="99" spans="1:36" s="29" customFormat="1" ht="15.75" customHeight="1">
      <c r="A99" s="153" t="str">
        <f>IF(F99&lt;&gt;"",1+MAX($A$2:A98),"")</f>
        <v/>
      </c>
      <c r="B99" s="154"/>
      <c r="C99" s="154"/>
      <c r="D99" s="154"/>
      <c r="E99" s="154"/>
      <c r="F99" s="154"/>
      <c r="G99" s="154"/>
      <c r="H99" s="155"/>
      <c r="I99" s="155"/>
      <c r="J99" s="155"/>
      <c r="K99" s="155"/>
      <c r="L99" s="155"/>
      <c r="M99" s="155"/>
      <c r="N99" s="155"/>
      <c r="O99" s="155"/>
      <c r="P99" s="154"/>
      <c r="Q99" s="204"/>
      <c r="S99" s="127"/>
    </row>
    <row r="100" spans="1:36" s="30" customFormat="1" ht="31.2">
      <c r="A100" s="156" t="str">
        <f>IF(F100&lt;&gt;"",1+MAX($A$2:A99),"")</f>
        <v/>
      </c>
      <c r="B100" s="156"/>
      <c r="C100" s="156"/>
      <c r="D100" s="156"/>
      <c r="E100" s="156"/>
      <c r="F100" s="156"/>
      <c r="G100" s="156"/>
      <c r="H100" s="250" t="s">
        <v>100</v>
      </c>
      <c r="I100" s="250"/>
      <c r="J100" s="191">
        <f>SUM(J17:J99)</f>
        <v>7612.6099675789474</v>
      </c>
      <c r="K100" s="251" t="s">
        <v>32</v>
      </c>
      <c r="L100" s="251"/>
      <c r="M100" s="192">
        <f>SUM(M17:M99)</f>
        <v>201161.63832832631</v>
      </c>
      <c r="N100" s="193" t="s">
        <v>34</v>
      </c>
      <c r="O100" s="194">
        <f>SUM(O17:O99)</f>
        <v>363458.43337894749</v>
      </c>
      <c r="P100" s="156"/>
      <c r="Q100" s="205"/>
      <c r="S100" s="131"/>
    </row>
    <row r="101" spans="1:36" s="30" customFormat="1">
      <c r="A101" s="157"/>
      <c r="B101" s="158"/>
      <c r="C101" s="159"/>
      <c r="D101" s="160" t="s">
        <v>101</v>
      </c>
      <c r="E101" s="161"/>
      <c r="F101" s="161"/>
      <c r="G101" s="162"/>
      <c r="H101" s="161"/>
      <c r="I101" s="161"/>
      <c r="J101" s="161"/>
      <c r="K101" s="161"/>
      <c r="L101" s="195"/>
      <c r="M101" s="195"/>
      <c r="N101" s="195"/>
      <c r="O101" s="195"/>
      <c r="P101" s="195"/>
      <c r="Q101" s="206">
        <f>SUM(Q8:Q99)/2</f>
        <v>609620.0717072736</v>
      </c>
      <c r="R101" s="207"/>
    </row>
    <row r="102" spans="1:36" s="30" customFormat="1">
      <c r="A102" s="157"/>
      <c r="B102" s="158"/>
      <c r="C102" s="163"/>
      <c r="D102" s="164" t="s">
        <v>102</v>
      </c>
      <c r="E102" s="165"/>
      <c r="F102" s="159"/>
      <c r="G102" s="165"/>
      <c r="H102" s="159"/>
      <c r="I102" s="159"/>
      <c r="J102" s="159"/>
      <c r="K102" s="159"/>
      <c r="L102" s="196">
        <v>0.05</v>
      </c>
      <c r="M102" s="196"/>
      <c r="N102" s="196"/>
      <c r="O102" s="196"/>
      <c r="P102" s="196"/>
      <c r="Q102" s="206">
        <f>Q101*L102</f>
        <v>30481.00358536368</v>
      </c>
      <c r="R102" s="208"/>
      <c r="S102" s="208"/>
      <c r="T102" s="208"/>
      <c r="U102" s="208"/>
      <c r="V102" s="208"/>
      <c r="W102" s="208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08"/>
      <c r="AH102" s="208"/>
      <c r="AI102" s="208"/>
      <c r="AJ102" s="208"/>
    </row>
    <row r="103" spans="1:36" s="30" customFormat="1">
      <c r="A103" s="166"/>
      <c r="B103" s="167"/>
      <c r="C103" s="168"/>
      <c r="D103" s="169" t="s">
        <v>12</v>
      </c>
      <c r="E103" s="170"/>
      <c r="F103" s="171"/>
      <c r="G103" s="170"/>
      <c r="H103" s="171"/>
      <c r="I103" s="171"/>
      <c r="J103" s="171"/>
      <c r="K103" s="171"/>
      <c r="L103" s="197">
        <v>0.15</v>
      </c>
      <c r="M103" s="197"/>
      <c r="N103" s="197"/>
      <c r="O103" s="197"/>
      <c r="P103" s="197"/>
      <c r="Q103" s="209">
        <f>Q101*L103</f>
        <v>91443.01075609104</v>
      </c>
      <c r="R103" s="208"/>
      <c r="S103" s="208"/>
      <c r="T103" s="208"/>
      <c r="U103" s="208"/>
      <c r="V103" s="208"/>
      <c r="W103" s="208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/>
      <c r="AH103" s="208"/>
      <c r="AI103" s="208"/>
      <c r="AJ103" s="208"/>
    </row>
    <row r="104" spans="1:36" s="30" customFormat="1">
      <c r="A104" s="166"/>
      <c r="B104" s="167"/>
      <c r="C104" s="168"/>
      <c r="D104" s="169" t="s">
        <v>13</v>
      </c>
      <c r="E104" s="170"/>
      <c r="F104" s="171"/>
      <c r="G104" s="170"/>
      <c r="H104" s="171"/>
      <c r="I104" s="171"/>
      <c r="J104" s="171"/>
      <c r="K104" s="171"/>
      <c r="L104" s="197">
        <v>7.0000000000000007E-2</v>
      </c>
      <c r="M104" s="197"/>
      <c r="N104" s="197"/>
      <c r="O104" s="197"/>
      <c r="P104" s="197"/>
      <c r="Q104" s="209">
        <f>Q101*L104</f>
        <v>42673.405019509155</v>
      </c>
      <c r="R104" s="208"/>
      <c r="S104" s="208"/>
      <c r="T104" s="208"/>
      <c r="U104" s="208"/>
      <c r="V104" s="208"/>
      <c r="W104" s="208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/>
      <c r="AH104" s="208"/>
      <c r="AI104" s="208"/>
      <c r="AJ104" s="208"/>
    </row>
    <row r="105" spans="1:36" s="30" customFormat="1">
      <c r="A105" s="172"/>
      <c r="B105" s="173"/>
      <c r="C105" s="174"/>
      <c r="D105" s="175" t="s">
        <v>14</v>
      </c>
      <c r="E105" s="176"/>
      <c r="F105" s="177"/>
      <c r="G105" s="176"/>
      <c r="H105" s="177"/>
      <c r="I105" s="177"/>
      <c r="J105" s="177"/>
      <c r="K105" s="177"/>
      <c r="L105" s="198">
        <v>1.4999999999999999E-2</v>
      </c>
      <c r="M105" s="198"/>
      <c r="N105" s="198"/>
      <c r="O105" s="198"/>
      <c r="P105" s="198"/>
      <c r="Q105" s="210">
        <f>Q101*L105</f>
        <v>9144.3010756091044</v>
      </c>
      <c r="R105" s="208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</row>
    <row r="106" spans="1:36" s="30" customFormat="1">
      <c r="A106" s="178"/>
      <c r="B106" s="179"/>
      <c r="C106" s="180"/>
      <c r="D106" s="181" t="s">
        <v>15</v>
      </c>
      <c r="E106" s="182"/>
      <c r="F106" s="182"/>
      <c r="G106" s="183"/>
      <c r="H106" s="182"/>
      <c r="I106" s="182"/>
      <c r="J106" s="182"/>
      <c r="K106" s="182"/>
      <c r="L106" s="199"/>
      <c r="M106" s="199"/>
      <c r="N106" s="199"/>
      <c r="O106" s="199"/>
      <c r="P106" s="199"/>
      <c r="Q106" s="211">
        <f>SUM(Q101:Q105)</f>
        <v>783361.79214384651</v>
      </c>
    </row>
  </sheetData>
  <mergeCells count="7">
    <mergeCell ref="A2:Q2"/>
    <mergeCell ref="B3:C3"/>
    <mergeCell ref="B4:C4"/>
    <mergeCell ref="B5:C5"/>
    <mergeCell ref="H100:I100"/>
    <mergeCell ref="K100:L100"/>
    <mergeCell ref="Q8:Q14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38"/>
  <sheetViews>
    <sheetView workbookViewId="0">
      <selection activeCell="C30" sqref="C30"/>
    </sheetView>
  </sheetViews>
  <sheetFormatPr defaultColWidth="9.09765625" defaultRowHeight="14.4"/>
  <cols>
    <col min="1" max="1" width="26.69921875" style="2" customWidth="1"/>
    <col min="2" max="2" width="19.59765625" style="1" customWidth="1"/>
    <col min="3" max="3" width="20.5" style="1" customWidth="1"/>
    <col min="4" max="16384" width="9.09765625" style="1"/>
  </cols>
  <sheetData>
    <row r="1" spans="1:4" ht="15.6">
      <c r="A1" s="3"/>
      <c r="B1" s="4" t="s">
        <v>103</v>
      </c>
      <c r="C1" s="5" t="s">
        <v>104</v>
      </c>
    </row>
    <row r="2" spans="1:4" ht="15.6">
      <c r="A2" s="6"/>
      <c r="B2" s="7"/>
      <c r="C2" s="8"/>
    </row>
    <row r="3" spans="1:4" ht="15.6">
      <c r="A3" s="9" t="s">
        <v>105</v>
      </c>
      <c r="B3" s="10" t="s">
        <v>105</v>
      </c>
      <c r="C3" s="11">
        <v>32</v>
      </c>
      <c r="D3" s="12"/>
    </row>
    <row r="4" spans="1:4" ht="15.6">
      <c r="A4" s="9" t="s">
        <v>106</v>
      </c>
      <c r="B4" s="10" t="s">
        <v>107</v>
      </c>
      <c r="C4" s="11">
        <v>20.7</v>
      </c>
    </row>
    <row r="5" spans="1:4" ht="15.6">
      <c r="A5" s="9" t="s">
        <v>108</v>
      </c>
      <c r="B5" s="10" t="s">
        <v>109</v>
      </c>
      <c r="C5" s="11">
        <v>22.5</v>
      </c>
    </row>
    <row r="6" spans="1:4" ht="15.6">
      <c r="A6" s="13"/>
      <c r="B6" s="14"/>
      <c r="C6" s="15"/>
    </row>
    <row r="7" spans="1:4">
      <c r="A7" s="3"/>
      <c r="B7" s="3"/>
      <c r="C7" s="3"/>
    </row>
    <row r="8" spans="1:4">
      <c r="A8" s="3"/>
      <c r="B8" s="3"/>
      <c r="C8" s="3"/>
    </row>
    <row r="9" spans="1:4" ht="15.6">
      <c r="A9" s="3"/>
      <c r="B9" s="255" t="s">
        <v>25</v>
      </c>
      <c r="C9" s="256"/>
    </row>
    <row r="10" spans="1:4" ht="15.6">
      <c r="A10" s="16" t="s">
        <v>110</v>
      </c>
      <c r="B10" s="17" t="s">
        <v>71</v>
      </c>
      <c r="C10" s="18">
        <v>0</v>
      </c>
    </row>
    <row r="11" spans="1:4" ht="15.6">
      <c r="A11" s="19" t="s">
        <v>111</v>
      </c>
      <c r="B11" s="20" t="s">
        <v>50</v>
      </c>
      <c r="C11" s="21">
        <v>0.05</v>
      </c>
    </row>
    <row r="12" spans="1:4" ht="15.6">
      <c r="A12" s="19" t="s">
        <v>112</v>
      </c>
      <c r="B12" s="20" t="s">
        <v>61</v>
      </c>
      <c r="C12" s="21">
        <v>0.1</v>
      </c>
    </row>
    <row r="13" spans="1:4" ht="15.6">
      <c r="A13" s="19" t="s">
        <v>113</v>
      </c>
      <c r="B13" s="20" t="s">
        <v>114</v>
      </c>
      <c r="C13" s="21">
        <v>0.1</v>
      </c>
    </row>
    <row r="14" spans="1:4" ht="15.6">
      <c r="A14" s="19" t="s">
        <v>115</v>
      </c>
      <c r="B14" s="20" t="s">
        <v>116</v>
      </c>
      <c r="C14" s="21">
        <v>0.1</v>
      </c>
    </row>
    <row r="15" spans="1:4" ht="15.6">
      <c r="A15" s="19" t="s">
        <v>117</v>
      </c>
      <c r="B15" s="20" t="s">
        <v>39</v>
      </c>
      <c r="C15" s="21">
        <v>0</v>
      </c>
    </row>
    <row r="16" spans="1:4" ht="15.6">
      <c r="A16" s="19" t="s">
        <v>118</v>
      </c>
      <c r="B16" s="20" t="s">
        <v>119</v>
      </c>
      <c r="C16" s="21">
        <v>0</v>
      </c>
    </row>
    <row r="17" spans="1:3" ht="15.6">
      <c r="A17" s="19" t="s">
        <v>120</v>
      </c>
      <c r="B17" s="20" t="s">
        <v>121</v>
      </c>
      <c r="C17" s="21">
        <v>0</v>
      </c>
    </row>
    <row r="18" spans="1:3" ht="15.6">
      <c r="A18" s="19" t="s">
        <v>122</v>
      </c>
      <c r="B18" s="20" t="s">
        <v>123</v>
      </c>
      <c r="C18" s="21">
        <v>0</v>
      </c>
    </row>
    <row r="19" spans="1:3" ht="15.6">
      <c r="A19" s="19" t="s">
        <v>124</v>
      </c>
      <c r="B19" s="20" t="s">
        <v>125</v>
      </c>
      <c r="C19" s="21">
        <v>0</v>
      </c>
    </row>
    <row r="20" spans="1:3" ht="15.6">
      <c r="A20" s="19" t="s">
        <v>126</v>
      </c>
      <c r="B20" s="20" t="s">
        <v>127</v>
      </c>
      <c r="C20" s="21">
        <v>0.1</v>
      </c>
    </row>
    <row r="21" spans="1:3" ht="15.6">
      <c r="A21" s="19" t="s">
        <v>128</v>
      </c>
      <c r="B21" s="20" t="s">
        <v>129</v>
      </c>
      <c r="C21" s="21">
        <v>0.1</v>
      </c>
    </row>
    <row r="22" spans="1:3" ht="15.6">
      <c r="A22" s="19" t="s">
        <v>130</v>
      </c>
      <c r="B22" s="20" t="s">
        <v>131</v>
      </c>
      <c r="C22" s="21">
        <v>0</v>
      </c>
    </row>
    <row r="23" spans="1:3" ht="15.6">
      <c r="A23" s="19" t="s">
        <v>132</v>
      </c>
      <c r="B23" s="20" t="s">
        <v>133</v>
      </c>
      <c r="C23" s="21">
        <v>0</v>
      </c>
    </row>
    <row r="24" spans="1:3" ht="15.6">
      <c r="A24" s="19" t="s">
        <v>134</v>
      </c>
      <c r="B24" s="20" t="s">
        <v>134</v>
      </c>
      <c r="C24" s="21">
        <v>0.1</v>
      </c>
    </row>
    <row r="25" spans="1:3" ht="15.6">
      <c r="A25" s="19" t="s">
        <v>135</v>
      </c>
      <c r="B25" s="20" t="s">
        <v>136</v>
      </c>
      <c r="C25" s="21">
        <v>0</v>
      </c>
    </row>
    <row r="26" spans="1:3" ht="15.6">
      <c r="A26" s="19" t="s">
        <v>137</v>
      </c>
      <c r="B26" s="20" t="s">
        <v>138</v>
      </c>
      <c r="C26" s="21">
        <v>0</v>
      </c>
    </row>
    <row r="27" spans="1:3" ht="15.6">
      <c r="A27" s="19" t="s">
        <v>139</v>
      </c>
      <c r="B27" s="20" t="s">
        <v>140</v>
      </c>
      <c r="C27" s="21">
        <v>0</v>
      </c>
    </row>
    <row r="28" spans="1:3" ht="15.6">
      <c r="A28" s="19" t="s">
        <v>130</v>
      </c>
      <c r="B28" s="20" t="s">
        <v>141</v>
      </c>
      <c r="C28" s="21">
        <v>0</v>
      </c>
    </row>
    <row r="29" spans="1:3" ht="15.6">
      <c r="A29" s="19" t="s">
        <v>142</v>
      </c>
      <c r="B29" s="20" t="s">
        <v>143</v>
      </c>
      <c r="C29" s="21">
        <v>0</v>
      </c>
    </row>
    <row r="30" spans="1:3" ht="15.6">
      <c r="A30" s="19" t="s">
        <v>144</v>
      </c>
      <c r="B30" s="20" t="s">
        <v>145</v>
      </c>
      <c r="C30" s="21">
        <v>0</v>
      </c>
    </row>
    <row r="31" spans="1:3" ht="15.6">
      <c r="A31" s="19" t="s">
        <v>146</v>
      </c>
      <c r="B31" s="20" t="s">
        <v>147</v>
      </c>
      <c r="C31" s="21">
        <v>0.1</v>
      </c>
    </row>
    <row r="32" spans="1:3" ht="15.6">
      <c r="A32" s="22" t="s">
        <v>148</v>
      </c>
      <c r="B32" s="23" t="s">
        <v>148</v>
      </c>
      <c r="C32" s="24">
        <v>0</v>
      </c>
    </row>
    <row r="35" spans="1:8">
      <c r="A35" s="25" t="s">
        <v>149</v>
      </c>
      <c r="B35" s="26"/>
      <c r="C35" s="26"/>
      <c r="D35" s="26"/>
      <c r="E35" s="26"/>
      <c r="F35" s="26"/>
      <c r="G35" s="26"/>
      <c r="H35" s="26"/>
    </row>
    <row r="36" spans="1:8">
      <c r="A36" s="26"/>
      <c r="B36" s="26"/>
      <c r="C36" s="26"/>
      <c r="D36" s="26"/>
      <c r="E36" s="26"/>
      <c r="F36" s="26"/>
      <c r="G36" s="26"/>
      <c r="H36" s="26"/>
    </row>
    <row r="37" spans="1:8">
      <c r="A37" s="26" t="s">
        <v>150</v>
      </c>
      <c r="B37" s="26"/>
      <c r="C37" s="26"/>
      <c r="D37" s="26"/>
      <c r="E37" s="26"/>
      <c r="F37" s="26"/>
      <c r="G37" s="26"/>
      <c r="H37" s="26"/>
    </row>
    <row r="38" spans="1:8">
      <c r="A38" s="26" t="s">
        <v>151</v>
      </c>
      <c r="B38" s="26"/>
      <c r="C38" s="26"/>
      <c r="D38" s="26"/>
      <c r="E38" s="26"/>
      <c r="F38" s="26"/>
      <c r="G38" s="26"/>
      <c r="H38" s="26"/>
    </row>
  </sheetData>
  <mergeCells count="1">
    <mergeCell ref="B9:C9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61364617-E89E-4BE5-B19D-EF2576D0BBCC}">
  <ds:schemaRefs>
    <ds:schemaRef ds:uri="http://www.w3.org/2000/xmlns/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General Summary</vt:lpstr>
      <vt:lpstr>Takeoff Breakdown</vt:lpstr>
      <vt:lpstr>LABOR SHEET</vt:lpstr>
      <vt:lpstr>'General Summary'!Print_Area</vt:lpstr>
      <vt:lpstr>'Takeoff Breakdown'!Print_Area</vt:lpstr>
      <vt:lpstr>'Takeoff Breakdown'!Print_Titles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CH Shahzaib</cp:lastModifiedBy>
  <cp:lastPrinted>2023-01-11T20:23:00Z</cp:lastPrinted>
  <dcterms:created xsi:type="dcterms:W3CDTF">2016-03-30T11:57:00Z</dcterms:created>
  <dcterms:modified xsi:type="dcterms:W3CDTF">2026-08-07T20:01:48Z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{61364617-E89E-4BE5-B19D-EF2576D0BBCC}</vt:lpwstr>
  </property>
  <property fmtid="{D5CDD505-2E9C-101B-9397-08002B2CF9AE}" pid="6" name="ICV">
    <vt:lpwstr>F206CFE9EB6940688AF1A6218D20798C_13</vt:lpwstr>
  </property>
  <property fmtid="{D5CDD505-2E9C-101B-9397-08002B2CF9AE}" pid="7" name="KSOProductBuildVer">
    <vt:lpwstr>1033-12.2.0.21179</vt:lpwstr>
  </property>
</Properties>
</file>