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ownloads\"/>
    </mc:Choice>
  </mc:AlternateContent>
  <xr:revisionPtr revIDLastSave="0" documentId="13_ncr:1_{93C4BEEA-52BA-4389-852E-BB196107CDB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General Summary" sheetId="4" r:id="rId1"/>
    <sheet name="Base Bid" sheetId="1" r:id="rId2"/>
    <sheet name="Add Alternate" sheetId="7" r:id="rId3"/>
    <sheet name="LABOR SHEET" sheetId="6" r:id="rId4"/>
  </sheets>
  <definedNames>
    <definedName name="_xlnm._FilterDatabase" localSheetId="2" hidden="1">'Add Alternate'!$A$6:$Q$57</definedName>
    <definedName name="_xlnm._FilterDatabase" localSheetId="1" hidden="1">'Base Bid'!$A$6:$Q$464</definedName>
    <definedName name="_xlnm.Print_Area" localSheetId="2">'Add Alternate'!$A$2:$Q$57</definedName>
    <definedName name="_xlnm.Print_Area" localSheetId="1">'Base Bid'!$A$2:$Q$464</definedName>
    <definedName name="_xlnm.Print_Area" localSheetId="0">'General Summary'!$A$1:$N$31</definedName>
    <definedName name="_xlnm.Print_Titles" localSheetId="2">'Add Alternate'!$1:$6</definedName>
    <definedName name="_xlnm.Print_Titles" localSheetId="1">'Base Bid'!$1:$6</definedName>
  </definedNames>
  <calcPr calcId="181029"/>
</workbook>
</file>

<file path=xl/calcChain.xml><?xml version="1.0" encoding="utf-8"?>
<calcChain xmlns="http://schemas.openxmlformats.org/spreadsheetml/2006/main">
  <c r="Q57" i="7" l="1"/>
  <c r="Q56" i="7"/>
  <c r="Q55" i="7"/>
  <c r="Q54" i="7"/>
  <c r="Q53" i="7"/>
  <c r="Q52" i="7"/>
  <c r="Q51" i="7"/>
  <c r="Q50" i="7"/>
  <c r="Q49" i="7"/>
  <c r="O48" i="7"/>
  <c r="M48" i="7"/>
  <c r="J48" i="7"/>
  <c r="A47" i="7"/>
  <c r="Q46" i="7"/>
  <c r="A46" i="7"/>
  <c r="A45" i="7"/>
  <c r="Q44" i="7"/>
  <c r="P44" i="7"/>
  <c r="O44" i="7"/>
  <c r="M44" i="7"/>
  <c r="L44" i="7"/>
  <c r="K44" i="7"/>
  <c r="J44" i="7"/>
  <c r="G44" i="7"/>
  <c r="A44" i="7"/>
  <c r="Q43" i="7"/>
  <c r="P43" i="7"/>
  <c r="O43" i="7"/>
  <c r="M43" i="7"/>
  <c r="L43" i="7"/>
  <c r="K43" i="7"/>
  <c r="J43" i="7"/>
  <c r="G43" i="7"/>
  <c r="A43" i="7"/>
  <c r="A42" i="7"/>
  <c r="A41" i="7"/>
  <c r="Q40" i="7"/>
  <c r="P40" i="7"/>
  <c r="O40" i="7"/>
  <c r="N40" i="7"/>
  <c r="M40" i="7"/>
  <c r="L40" i="7"/>
  <c r="K40" i="7"/>
  <c r="J40" i="7"/>
  <c r="G40" i="7"/>
  <c r="A40" i="7"/>
  <c r="A39" i="7"/>
  <c r="A38" i="7"/>
  <c r="Q37" i="7"/>
  <c r="P37" i="7"/>
  <c r="O37" i="7"/>
  <c r="N37" i="7"/>
  <c r="M37" i="7"/>
  <c r="L37" i="7"/>
  <c r="K37" i="7"/>
  <c r="J37" i="7"/>
  <c r="G37" i="7"/>
  <c r="A37" i="7"/>
  <c r="Q36" i="7"/>
  <c r="P36" i="7"/>
  <c r="O36" i="7"/>
  <c r="N36" i="7"/>
  <c r="M36" i="7"/>
  <c r="L36" i="7"/>
  <c r="K36" i="7"/>
  <c r="J36" i="7"/>
  <c r="G36" i="7"/>
  <c r="A36" i="7"/>
  <c r="A35" i="7"/>
  <c r="A34" i="7"/>
  <c r="A33" i="7"/>
  <c r="Q32" i="7"/>
  <c r="P32" i="7"/>
  <c r="O32" i="7"/>
  <c r="M32" i="7"/>
  <c r="L32" i="7"/>
  <c r="K32" i="7"/>
  <c r="J32" i="7"/>
  <c r="G32" i="7"/>
  <c r="A32" i="7"/>
  <c r="A31" i="7"/>
  <c r="A30" i="7"/>
  <c r="Q29" i="7"/>
  <c r="P29" i="7"/>
  <c r="O29" i="7"/>
  <c r="N29" i="7"/>
  <c r="M29" i="7"/>
  <c r="L29" i="7"/>
  <c r="K29" i="7"/>
  <c r="J29" i="7"/>
  <c r="G29" i="7"/>
  <c r="A29" i="7"/>
  <c r="Q28" i="7"/>
  <c r="P28" i="7"/>
  <c r="O28" i="7"/>
  <c r="N28" i="7"/>
  <c r="M28" i="7"/>
  <c r="L28" i="7"/>
  <c r="K28" i="7"/>
  <c r="J28" i="7"/>
  <c r="G28" i="7"/>
  <c r="A28" i="7"/>
  <c r="Q27" i="7"/>
  <c r="P27" i="7"/>
  <c r="O27" i="7"/>
  <c r="N27" i="7"/>
  <c r="M27" i="7"/>
  <c r="L27" i="7"/>
  <c r="K27" i="7"/>
  <c r="J27" i="7"/>
  <c r="G27" i="7"/>
  <c r="A27" i="7"/>
  <c r="Q26" i="7"/>
  <c r="P26" i="7"/>
  <c r="O26" i="7"/>
  <c r="N26" i="7"/>
  <c r="M26" i="7"/>
  <c r="L26" i="7"/>
  <c r="K26" i="7"/>
  <c r="J26" i="7"/>
  <c r="G26" i="7"/>
  <c r="A26" i="7"/>
  <c r="A25" i="7"/>
  <c r="A24" i="7"/>
  <c r="A23" i="7"/>
  <c r="Q22" i="7"/>
  <c r="P22" i="7"/>
  <c r="O22" i="7"/>
  <c r="M22" i="7"/>
  <c r="L22" i="7"/>
  <c r="K22" i="7"/>
  <c r="J22" i="7"/>
  <c r="G22" i="7"/>
  <c r="A22" i="7"/>
  <c r="A21" i="7"/>
  <c r="A20" i="7"/>
  <c r="Q19" i="7"/>
  <c r="P19" i="7"/>
  <c r="O19" i="7"/>
  <c r="M19" i="7"/>
  <c r="L19" i="7"/>
  <c r="K19" i="7"/>
  <c r="J19" i="7"/>
  <c r="G19" i="7"/>
  <c r="A19" i="7"/>
  <c r="A18" i="7"/>
  <c r="A17" i="7"/>
  <c r="A16" i="7"/>
  <c r="Q15" i="7"/>
  <c r="A15" i="7"/>
  <c r="P14" i="7"/>
  <c r="O14" i="7"/>
  <c r="M14" i="7"/>
  <c r="L14" i="7"/>
  <c r="J14" i="7"/>
  <c r="G14" i="7"/>
  <c r="A14" i="7"/>
  <c r="P13" i="7"/>
  <c r="O13" i="7"/>
  <c r="M13" i="7"/>
  <c r="L13" i="7"/>
  <c r="J13" i="7"/>
  <c r="G13" i="7"/>
  <c r="A13" i="7"/>
  <c r="P12" i="7"/>
  <c r="O12" i="7"/>
  <c r="M12" i="7"/>
  <c r="L12" i="7"/>
  <c r="J12" i="7"/>
  <c r="G12" i="7"/>
  <c r="A12" i="7"/>
  <c r="P11" i="7"/>
  <c r="O11" i="7"/>
  <c r="M11" i="7"/>
  <c r="L11" i="7"/>
  <c r="J11" i="7"/>
  <c r="G11" i="7"/>
  <c r="A11" i="7"/>
  <c r="P10" i="7"/>
  <c r="O10" i="7"/>
  <c r="M10" i="7"/>
  <c r="L10" i="7"/>
  <c r="J10" i="7"/>
  <c r="G10" i="7"/>
  <c r="A10" i="7"/>
  <c r="P9" i="7"/>
  <c r="O9" i="7"/>
  <c r="M9" i="7"/>
  <c r="L9" i="7"/>
  <c r="J9" i="7"/>
  <c r="G9" i="7"/>
  <c r="A9" i="7"/>
  <c r="P8" i="7"/>
  <c r="O8" i="7"/>
  <c r="M8" i="7"/>
  <c r="L8" i="7"/>
  <c r="J8" i="7"/>
  <c r="G8" i="7"/>
  <c r="A8" i="7"/>
  <c r="Q464" i="1"/>
  <c r="Q463" i="1"/>
  <c r="Q462" i="1"/>
  <c r="Q461" i="1"/>
  <c r="Q460" i="1"/>
  <c r="Q459" i="1"/>
  <c r="Q458" i="1"/>
  <c r="Q457" i="1"/>
  <c r="Q456" i="1"/>
  <c r="O455" i="1"/>
  <c r="M455" i="1"/>
  <c r="J455" i="1"/>
  <c r="A454" i="1"/>
  <c r="Q453" i="1"/>
  <c r="A453" i="1"/>
  <c r="A452" i="1"/>
  <c r="A451" i="1"/>
  <c r="A450" i="1"/>
  <c r="A449" i="1"/>
  <c r="Q448" i="1"/>
  <c r="P448" i="1"/>
  <c r="O448" i="1"/>
  <c r="M448" i="1"/>
  <c r="L448" i="1"/>
  <c r="K448" i="1"/>
  <c r="J448" i="1"/>
  <c r="G448" i="1"/>
  <c r="A448" i="1"/>
  <c r="Q447" i="1"/>
  <c r="P447" i="1"/>
  <c r="O447" i="1"/>
  <c r="M447" i="1"/>
  <c r="L447" i="1"/>
  <c r="K447" i="1"/>
  <c r="J447" i="1"/>
  <c r="G447" i="1"/>
  <c r="A447" i="1"/>
  <c r="Q446" i="1"/>
  <c r="P446" i="1"/>
  <c r="O446" i="1"/>
  <c r="M446" i="1"/>
  <c r="L446" i="1"/>
  <c r="K446" i="1"/>
  <c r="J446" i="1"/>
  <c r="G446" i="1"/>
  <c r="A446" i="1"/>
  <c r="Q445" i="1"/>
  <c r="P445" i="1"/>
  <c r="O445" i="1"/>
  <c r="M445" i="1"/>
  <c r="L445" i="1"/>
  <c r="K445" i="1"/>
  <c r="J445" i="1"/>
  <c r="G445" i="1"/>
  <c r="A445" i="1"/>
  <c r="A444" i="1"/>
  <c r="A443" i="1"/>
  <c r="Q442" i="1"/>
  <c r="P442" i="1"/>
  <c r="O442" i="1"/>
  <c r="N442" i="1"/>
  <c r="M442" i="1"/>
  <c r="L442" i="1"/>
  <c r="K442" i="1"/>
  <c r="J442" i="1"/>
  <c r="G442" i="1"/>
  <c r="A442" i="1"/>
  <c r="A441" i="1"/>
  <c r="A440" i="1"/>
  <c r="Q439" i="1"/>
  <c r="P439" i="1"/>
  <c r="O439" i="1"/>
  <c r="N439" i="1"/>
  <c r="M439" i="1"/>
  <c r="L439" i="1"/>
  <c r="K439" i="1"/>
  <c r="J439" i="1"/>
  <c r="G439" i="1"/>
  <c r="A439" i="1"/>
  <c r="A438" i="1"/>
  <c r="A437" i="1"/>
  <c r="A436" i="1"/>
  <c r="Q435" i="1"/>
  <c r="P435" i="1"/>
  <c r="O435" i="1"/>
  <c r="M435" i="1"/>
  <c r="L435" i="1"/>
  <c r="K435" i="1"/>
  <c r="J435" i="1"/>
  <c r="G435" i="1"/>
  <c r="A435" i="1"/>
  <c r="Q434" i="1"/>
  <c r="P434" i="1"/>
  <c r="O434" i="1"/>
  <c r="M434" i="1"/>
  <c r="L434" i="1"/>
  <c r="K434" i="1"/>
  <c r="J434" i="1"/>
  <c r="G434" i="1"/>
  <c r="A434" i="1"/>
  <c r="Q433" i="1"/>
  <c r="P433" i="1"/>
  <c r="O433" i="1"/>
  <c r="M433" i="1"/>
  <c r="L433" i="1"/>
  <c r="K433" i="1"/>
  <c r="J433" i="1"/>
  <c r="G433" i="1"/>
  <c r="A433" i="1"/>
  <c r="Q432" i="1"/>
  <c r="P432" i="1"/>
  <c r="O432" i="1"/>
  <c r="M432" i="1"/>
  <c r="L432" i="1"/>
  <c r="K432" i="1"/>
  <c r="J432" i="1"/>
  <c r="G432" i="1"/>
  <c r="A432" i="1"/>
  <c r="Q431" i="1"/>
  <c r="P431" i="1"/>
  <c r="O431" i="1"/>
  <c r="M431" i="1"/>
  <c r="L431" i="1"/>
  <c r="K431" i="1"/>
  <c r="J431" i="1"/>
  <c r="G431" i="1"/>
  <c r="A431" i="1"/>
  <c r="Q430" i="1"/>
  <c r="P430" i="1"/>
  <c r="O430" i="1"/>
  <c r="M430" i="1"/>
  <c r="L430" i="1"/>
  <c r="K430" i="1"/>
  <c r="J430" i="1"/>
  <c r="G430" i="1"/>
  <c r="A430" i="1"/>
  <c r="Q429" i="1"/>
  <c r="P429" i="1"/>
  <c r="O429" i="1"/>
  <c r="M429" i="1"/>
  <c r="L429" i="1"/>
  <c r="K429" i="1"/>
  <c r="J429" i="1"/>
  <c r="G429" i="1"/>
  <c r="A429" i="1"/>
  <c r="Q428" i="1"/>
  <c r="P428" i="1"/>
  <c r="O428" i="1"/>
  <c r="M428" i="1"/>
  <c r="L428" i="1"/>
  <c r="K428" i="1"/>
  <c r="J428" i="1"/>
  <c r="G428" i="1"/>
  <c r="A428" i="1"/>
  <c r="Q427" i="1"/>
  <c r="P427" i="1"/>
  <c r="O427" i="1"/>
  <c r="M427" i="1"/>
  <c r="L427" i="1"/>
  <c r="K427" i="1"/>
  <c r="J427" i="1"/>
  <c r="G427" i="1"/>
  <c r="A427" i="1"/>
  <c r="Q426" i="1"/>
  <c r="P426" i="1"/>
  <c r="O426" i="1"/>
  <c r="M426" i="1"/>
  <c r="L426" i="1"/>
  <c r="K426" i="1"/>
  <c r="J426" i="1"/>
  <c r="G426" i="1"/>
  <c r="A426" i="1"/>
  <c r="Q425" i="1"/>
  <c r="P425" i="1"/>
  <c r="O425" i="1"/>
  <c r="M425" i="1"/>
  <c r="L425" i="1"/>
  <c r="K425" i="1"/>
  <c r="J425" i="1"/>
  <c r="G425" i="1"/>
  <c r="A425" i="1"/>
  <c r="Q424" i="1"/>
  <c r="P424" i="1"/>
  <c r="O424" i="1"/>
  <c r="M424" i="1"/>
  <c r="L424" i="1"/>
  <c r="K424" i="1"/>
  <c r="J424" i="1"/>
  <c r="G424" i="1"/>
  <c r="A424" i="1"/>
  <c r="Q423" i="1"/>
  <c r="P423" i="1"/>
  <c r="O423" i="1"/>
  <c r="M423" i="1"/>
  <c r="L423" i="1"/>
  <c r="K423" i="1"/>
  <c r="J423" i="1"/>
  <c r="G423" i="1"/>
  <c r="A423" i="1"/>
  <c r="Q422" i="1"/>
  <c r="P422" i="1"/>
  <c r="O422" i="1"/>
  <c r="M422" i="1"/>
  <c r="L422" i="1"/>
  <c r="K422" i="1"/>
  <c r="J422" i="1"/>
  <c r="G422" i="1"/>
  <c r="A422" i="1"/>
  <c r="Q421" i="1"/>
  <c r="P421" i="1"/>
  <c r="O421" i="1"/>
  <c r="M421" i="1"/>
  <c r="L421" i="1"/>
  <c r="K421" i="1"/>
  <c r="J421" i="1"/>
  <c r="G421" i="1"/>
  <c r="A421" i="1"/>
  <c r="Q420" i="1"/>
  <c r="P420" i="1"/>
  <c r="O420" i="1"/>
  <c r="M420" i="1"/>
  <c r="L420" i="1"/>
  <c r="K420" i="1"/>
  <c r="J420" i="1"/>
  <c r="G420" i="1"/>
  <c r="A420" i="1"/>
  <c r="Q419" i="1"/>
  <c r="P419" i="1"/>
  <c r="O419" i="1"/>
  <c r="M419" i="1"/>
  <c r="L419" i="1"/>
  <c r="K419" i="1"/>
  <c r="J419" i="1"/>
  <c r="G419" i="1"/>
  <c r="A419" i="1"/>
  <c r="Q418" i="1"/>
  <c r="P418" i="1"/>
  <c r="O418" i="1"/>
  <c r="M418" i="1"/>
  <c r="L418" i="1"/>
  <c r="K418" i="1"/>
  <c r="J418" i="1"/>
  <c r="G418" i="1"/>
  <c r="A418" i="1"/>
  <c r="Q417" i="1"/>
  <c r="P417" i="1"/>
  <c r="O417" i="1"/>
  <c r="M417" i="1"/>
  <c r="L417" i="1"/>
  <c r="K417" i="1"/>
  <c r="J417" i="1"/>
  <c r="G417" i="1"/>
  <c r="A417" i="1"/>
  <c r="Q416" i="1"/>
  <c r="P416" i="1"/>
  <c r="O416" i="1"/>
  <c r="M416" i="1"/>
  <c r="L416" i="1"/>
  <c r="K416" i="1"/>
  <c r="J416" i="1"/>
  <c r="G416" i="1"/>
  <c r="A416" i="1"/>
  <c r="A415" i="1"/>
  <c r="A414" i="1"/>
  <c r="Q413" i="1"/>
  <c r="P413" i="1"/>
  <c r="O413" i="1"/>
  <c r="M413" i="1"/>
  <c r="L413" i="1"/>
  <c r="K413" i="1"/>
  <c r="J413" i="1"/>
  <c r="G413" i="1"/>
  <c r="A413" i="1"/>
  <c r="Q412" i="1"/>
  <c r="P412" i="1"/>
  <c r="O412" i="1"/>
  <c r="M412" i="1"/>
  <c r="L412" i="1"/>
  <c r="K412" i="1"/>
  <c r="J412" i="1"/>
  <c r="G412" i="1"/>
  <c r="A412" i="1"/>
  <c r="Q411" i="1"/>
  <c r="P411" i="1"/>
  <c r="O411" i="1"/>
  <c r="M411" i="1"/>
  <c r="L411" i="1"/>
  <c r="K411" i="1"/>
  <c r="J411" i="1"/>
  <c r="G411" i="1"/>
  <c r="A411" i="1"/>
  <c r="Q410" i="1"/>
  <c r="P410" i="1"/>
  <c r="O410" i="1"/>
  <c r="N410" i="1"/>
  <c r="M410" i="1"/>
  <c r="L410" i="1"/>
  <c r="K410" i="1"/>
  <c r="J410" i="1"/>
  <c r="G410" i="1"/>
  <c r="A410" i="1"/>
  <c r="A409" i="1"/>
  <c r="A408" i="1"/>
  <c r="Q407" i="1"/>
  <c r="P407" i="1"/>
  <c r="O407" i="1"/>
  <c r="N407" i="1"/>
  <c r="M407" i="1"/>
  <c r="L407" i="1"/>
  <c r="K407" i="1"/>
  <c r="J407" i="1"/>
  <c r="G407" i="1"/>
  <c r="A407" i="1"/>
  <c r="Q406" i="1"/>
  <c r="P406" i="1"/>
  <c r="O406" i="1"/>
  <c r="N406" i="1"/>
  <c r="M406" i="1"/>
  <c r="L406" i="1"/>
  <c r="K406" i="1"/>
  <c r="J406" i="1"/>
  <c r="G406" i="1"/>
  <c r="A406" i="1"/>
  <c r="Q405" i="1"/>
  <c r="P405" i="1"/>
  <c r="O405" i="1"/>
  <c r="N405" i="1"/>
  <c r="M405" i="1"/>
  <c r="L405" i="1"/>
  <c r="K405" i="1"/>
  <c r="J405" i="1"/>
  <c r="G405" i="1"/>
  <c r="A405" i="1"/>
  <c r="Q404" i="1"/>
  <c r="P404" i="1"/>
  <c r="O404" i="1"/>
  <c r="N404" i="1"/>
  <c r="M404" i="1"/>
  <c r="L404" i="1"/>
  <c r="K404" i="1"/>
  <c r="J404" i="1"/>
  <c r="G404" i="1"/>
  <c r="A404" i="1"/>
  <c r="A403" i="1"/>
  <c r="A402" i="1"/>
  <c r="A401" i="1"/>
  <c r="Q400" i="1"/>
  <c r="P400" i="1"/>
  <c r="O400" i="1"/>
  <c r="M400" i="1"/>
  <c r="L400" i="1"/>
  <c r="K400" i="1"/>
  <c r="J400" i="1"/>
  <c r="G400" i="1"/>
  <c r="A400" i="1"/>
  <c r="Q399" i="1"/>
  <c r="P399" i="1"/>
  <c r="O399" i="1"/>
  <c r="M399" i="1"/>
  <c r="L399" i="1"/>
  <c r="K399" i="1"/>
  <c r="J399" i="1"/>
  <c r="G399" i="1"/>
  <c r="A399" i="1"/>
  <c r="Q398" i="1"/>
  <c r="P398" i="1"/>
  <c r="O398" i="1"/>
  <c r="M398" i="1"/>
  <c r="L398" i="1"/>
  <c r="K398" i="1"/>
  <c r="J398" i="1"/>
  <c r="G398" i="1"/>
  <c r="A398" i="1"/>
  <c r="Q397" i="1"/>
  <c r="P397" i="1"/>
  <c r="O397" i="1"/>
  <c r="M397" i="1"/>
  <c r="L397" i="1"/>
  <c r="K397" i="1"/>
  <c r="J397" i="1"/>
  <c r="G397" i="1"/>
  <c r="A397" i="1"/>
  <c r="Q396" i="1"/>
  <c r="P396" i="1"/>
  <c r="O396" i="1"/>
  <c r="M396" i="1"/>
  <c r="L396" i="1"/>
  <c r="K396" i="1"/>
  <c r="J396" i="1"/>
  <c r="G396" i="1"/>
  <c r="A396" i="1"/>
  <c r="Q395" i="1"/>
  <c r="P395" i="1"/>
  <c r="O395" i="1"/>
  <c r="M395" i="1"/>
  <c r="L395" i="1"/>
  <c r="K395" i="1"/>
  <c r="J395" i="1"/>
  <c r="G395" i="1"/>
  <c r="A395" i="1"/>
  <c r="Q394" i="1"/>
  <c r="P394" i="1"/>
  <c r="O394" i="1"/>
  <c r="M394" i="1"/>
  <c r="L394" i="1"/>
  <c r="K394" i="1"/>
  <c r="J394" i="1"/>
  <c r="G394" i="1"/>
  <c r="A394" i="1"/>
  <c r="Q393" i="1"/>
  <c r="P393" i="1"/>
  <c r="O393" i="1"/>
  <c r="M393" i="1"/>
  <c r="L393" i="1"/>
  <c r="K393" i="1"/>
  <c r="J393" i="1"/>
  <c r="G393" i="1"/>
  <c r="A393" i="1"/>
  <c r="Q392" i="1"/>
  <c r="P392" i="1"/>
  <c r="O392" i="1"/>
  <c r="M392" i="1"/>
  <c r="L392" i="1"/>
  <c r="K392" i="1"/>
  <c r="J392" i="1"/>
  <c r="G392" i="1"/>
  <c r="A392" i="1"/>
  <c r="Q391" i="1"/>
  <c r="P391" i="1"/>
  <c r="O391" i="1"/>
  <c r="M391" i="1"/>
  <c r="L391" i="1"/>
  <c r="K391" i="1"/>
  <c r="J391" i="1"/>
  <c r="G391" i="1"/>
  <c r="A391" i="1"/>
  <c r="Q390" i="1"/>
  <c r="P390" i="1"/>
  <c r="O390" i="1"/>
  <c r="M390" i="1"/>
  <c r="L390" i="1"/>
  <c r="K390" i="1"/>
  <c r="J390" i="1"/>
  <c r="G390" i="1"/>
  <c r="A390" i="1"/>
  <c r="Q389" i="1"/>
  <c r="P389" i="1"/>
  <c r="O389" i="1"/>
  <c r="M389" i="1"/>
  <c r="L389" i="1"/>
  <c r="K389" i="1"/>
  <c r="J389" i="1"/>
  <c r="G389" i="1"/>
  <c r="A389" i="1"/>
  <c r="Q388" i="1"/>
  <c r="P388" i="1"/>
  <c r="O388" i="1"/>
  <c r="M388" i="1"/>
  <c r="L388" i="1"/>
  <c r="K388" i="1"/>
  <c r="J388" i="1"/>
  <c r="G388" i="1"/>
  <c r="A388" i="1"/>
  <c r="A387" i="1"/>
  <c r="A386" i="1"/>
  <c r="Q385" i="1"/>
  <c r="P385" i="1"/>
  <c r="O385" i="1"/>
  <c r="N385" i="1"/>
  <c r="M385" i="1"/>
  <c r="L385" i="1"/>
  <c r="K385" i="1"/>
  <c r="J385" i="1"/>
  <c r="G385" i="1"/>
  <c r="A385" i="1"/>
  <c r="A384" i="1"/>
  <c r="A383" i="1"/>
  <c r="Q382" i="1"/>
  <c r="P382" i="1"/>
  <c r="O382" i="1"/>
  <c r="N382" i="1"/>
  <c r="M382" i="1"/>
  <c r="L382" i="1"/>
  <c r="K382" i="1"/>
  <c r="J382" i="1"/>
  <c r="G382" i="1"/>
  <c r="A382" i="1"/>
  <c r="Q381" i="1"/>
  <c r="P381" i="1"/>
  <c r="O381" i="1"/>
  <c r="N381" i="1"/>
  <c r="M381" i="1"/>
  <c r="L381" i="1"/>
  <c r="K381" i="1"/>
  <c r="J381" i="1"/>
  <c r="G381" i="1"/>
  <c r="A381" i="1"/>
  <c r="A380" i="1"/>
  <c r="A379" i="1"/>
  <c r="A378" i="1"/>
  <c r="A377" i="1"/>
  <c r="Q376" i="1"/>
  <c r="A376" i="1"/>
  <c r="A375" i="1"/>
  <c r="Q374" i="1"/>
  <c r="P374" i="1"/>
  <c r="O374" i="1"/>
  <c r="M374" i="1"/>
  <c r="L374" i="1"/>
  <c r="K374" i="1"/>
  <c r="J374" i="1"/>
  <c r="G374" i="1"/>
  <c r="A374" i="1"/>
  <c r="Q373" i="1"/>
  <c r="P373" i="1"/>
  <c r="O373" i="1"/>
  <c r="M373" i="1"/>
  <c r="L373" i="1"/>
  <c r="K373" i="1"/>
  <c r="J373" i="1"/>
  <c r="G373" i="1"/>
  <c r="A373" i="1"/>
  <c r="Q372" i="1"/>
  <c r="P372" i="1"/>
  <c r="O372" i="1"/>
  <c r="M372" i="1"/>
  <c r="L372" i="1"/>
  <c r="K372" i="1"/>
  <c r="J372" i="1"/>
  <c r="G372" i="1"/>
  <c r="A372" i="1"/>
  <c r="Q371" i="1"/>
  <c r="P371" i="1"/>
  <c r="O371" i="1"/>
  <c r="M371" i="1"/>
  <c r="L371" i="1"/>
  <c r="K371" i="1"/>
  <c r="J371" i="1"/>
  <c r="G371" i="1"/>
  <c r="A371" i="1"/>
  <c r="Q370" i="1"/>
  <c r="P370" i="1"/>
  <c r="O370" i="1"/>
  <c r="M370" i="1"/>
  <c r="L370" i="1"/>
  <c r="K370" i="1"/>
  <c r="J370" i="1"/>
  <c r="G370" i="1"/>
  <c r="A370" i="1"/>
  <c r="Q369" i="1"/>
  <c r="P369" i="1"/>
  <c r="O369" i="1"/>
  <c r="M369" i="1"/>
  <c r="L369" i="1"/>
  <c r="K369" i="1"/>
  <c r="J369" i="1"/>
  <c r="G369" i="1"/>
  <c r="A369" i="1"/>
  <c r="Q368" i="1"/>
  <c r="P368" i="1"/>
  <c r="O368" i="1"/>
  <c r="M368" i="1"/>
  <c r="L368" i="1"/>
  <c r="K368" i="1"/>
  <c r="J368" i="1"/>
  <c r="G368" i="1"/>
  <c r="A368" i="1"/>
  <c r="Q367" i="1"/>
  <c r="P367" i="1"/>
  <c r="O367" i="1"/>
  <c r="M367" i="1"/>
  <c r="L367" i="1"/>
  <c r="K367" i="1"/>
  <c r="J367" i="1"/>
  <c r="G367" i="1"/>
  <c r="A367" i="1"/>
  <c r="Q366" i="1"/>
  <c r="P366" i="1"/>
  <c r="O366" i="1"/>
  <c r="M366" i="1"/>
  <c r="L366" i="1"/>
  <c r="K366" i="1"/>
  <c r="J366" i="1"/>
  <c r="G366" i="1"/>
  <c r="A366" i="1"/>
  <c r="Q365" i="1"/>
  <c r="P365" i="1"/>
  <c r="O365" i="1"/>
  <c r="M365" i="1"/>
  <c r="L365" i="1"/>
  <c r="K365" i="1"/>
  <c r="J365" i="1"/>
  <c r="G365" i="1"/>
  <c r="A365" i="1"/>
  <c r="Q364" i="1"/>
  <c r="P364" i="1"/>
  <c r="O364" i="1"/>
  <c r="M364" i="1"/>
  <c r="L364" i="1"/>
  <c r="K364" i="1"/>
  <c r="J364" i="1"/>
  <c r="G364" i="1"/>
  <c r="A364" i="1"/>
  <c r="Q363" i="1"/>
  <c r="P363" i="1"/>
  <c r="O363" i="1"/>
  <c r="M363" i="1"/>
  <c r="L363" i="1"/>
  <c r="K363" i="1"/>
  <c r="J363" i="1"/>
  <c r="G363" i="1"/>
  <c r="A363" i="1"/>
  <c r="Q362" i="1"/>
  <c r="P362" i="1"/>
  <c r="O362" i="1"/>
  <c r="M362" i="1"/>
  <c r="L362" i="1"/>
  <c r="K362" i="1"/>
  <c r="J362" i="1"/>
  <c r="G362" i="1"/>
  <c r="A362" i="1"/>
  <c r="Q361" i="1"/>
  <c r="P361" i="1"/>
  <c r="O361" i="1"/>
  <c r="M361" i="1"/>
  <c r="L361" i="1"/>
  <c r="K361" i="1"/>
  <c r="J361" i="1"/>
  <c r="G361" i="1"/>
  <c r="A361" i="1"/>
  <c r="Q360" i="1"/>
  <c r="P360" i="1"/>
  <c r="O360" i="1"/>
  <c r="M360" i="1"/>
  <c r="L360" i="1"/>
  <c r="K360" i="1"/>
  <c r="J360" i="1"/>
  <c r="G360" i="1"/>
  <c r="A360" i="1"/>
  <c r="Q359" i="1"/>
  <c r="P359" i="1"/>
  <c r="O359" i="1"/>
  <c r="M359" i="1"/>
  <c r="L359" i="1"/>
  <c r="K359" i="1"/>
  <c r="J359" i="1"/>
  <c r="G359" i="1"/>
  <c r="A359" i="1"/>
  <c r="Q358" i="1"/>
  <c r="P358" i="1"/>
  <c r="O358" i="1"/>
  <c r="M358" i="1"/>
  <c r="L358" i="1"/>
  <c r="K358" i="1"/>
  <c r="J358" i="1"/>
  <c r="G358" i="1"/>
  <c r="A358" i="1"/>
  <c r="Q357" i="1"/>
  <c r="P357" i="1"/>
  <c r="O357" i="1"/>
  <c r="M357" i="1"/>
  <c r="L357" i="1"/>
  <c r="K357" i="1"/>
  <c r="J357" i="1"/>
  <c r="G357" i="1"/>
  <c r="A357" i="1"/>
  <c r="Q356" i="1"/>
  <c r="P356" i="1"/>
  <c r="O356" i="1"/>
  <c r="M356" i="1"/>
  <c r="L356" i="1"/>
  <c r="K356" i="1"/>
  <c r="J356" i="1"/>
  <c r="G356" i="1"/>
  <c r="A356" i="1"/>
  <c r="Q355" i="1"/>
  <c r="P355" i="1"/>
  <c r="O355" i="1"/>
  <c r="M355" i="1"/>
  <c r="L355" i="1"/>
  <c r="K355" i="1"/>
  <c r="J355" i="1"/>
  <c r="G355" i="1"/>
  <c r="A355" i="1"/>
  <c r="Q354" i="1"/>
  <c r="P354" i="1"/>
  <c r="O354" i="1"/>
  <c r="M354" i="1"/>
  <c r="L354" i="1"/>
  <c r="K354" i="1"/>
  <c r="J354" i="1"/>
  <c r="G354" i="1"/>
  <c r="A354" i="1"/>
  <c r="Q353" i="1"/>
  <c r="P353" i="1"/>
  <c r="O353" i="1"/>
  <c r="M353" i="1"/>
  <c r="L353" i="1"/>
  <c r="K353" i="1"/>
  <c r="J353" i="1"/>
  <c r="G353" i="1"/>
  <c r="A353" i="1"/>
  <c r="Q352" i="1"/>
  <c r="P352" i="1"/>
  <c r="O352" i="1"/>
  <c r="M352" i="1"/>
  <c r="L352" i="1"/>
  <c r="K352" i="1"/>
  <c r="J352" i="1"/>
  <c r="G352" i="1"/>
  <c r="A352" i="1"/>
  <c r="Q351" i="1"/>
  <c r="P351" i="1"/>
  <c r="O351" i="1"/>
  <c r="M351" i="1"/>
  <c r="L351" i="1"/>
  <c r="K351" i="1"/>
  <c r="J351" i="1"/>
  <c r="G351" i="1"/>
  <c r="A351" i="1"/>
  <c r="Q350" i="1"/>
  <c r="P350" i="1"/>
  <c r="O350" i="1"/>
  <c r="M350" i="1"/>
  <c r="L350" i="1"/>
  <c r="K350" i="1"/>
  <c r="J350" i="1"/>
  <c r="G350" i="1"/>
  <c r="A350" i="1"/>
  <c r="Q349" i="1"/>
  <c r="P349" i="1"/>
  <c r="O349" i="1"/>
  <c r="M349" i="1"/>
  <c r="L349" i="1"/>
  <c r="K349" i="1"/>
  <c r="J349" i="1"/>
  <c r="G349" i="1"/>
  <c r="A349" i="1"/>
  <c r="Q348" i="1"/>
  <c r="P348" i="1"/>
  <c r="O348" i="1"/>
  <c r="M348" i="1"/>
  <c r="L348" i="1"/>
  <c r="K348" i="1"/>
  <c r="J348" i="1"/>
  <c r="G348" i="1"/>
  <c r="A348" i="1"/>
  <c r="Q347" i="1"/>
  <c r="P347" i="1"/>
  <c r="O347" i="1"/>
  <c r="M347" i="1"/>
  <c r="L347" i="1"/>
  <c r="K347" i="1"/>
  <c r="J347" i="1"/>
  <c r="G347" i="1"/>
  <c r="A347" i="1"/>
  <c r="Q346" i="1"/>
  <c r="P346" i="1"/>
  <c r="O346" i="1"/>
  <c r="M346" i="1"/>
  <c r="L346" i="1"/>
  <c r="K346" i="1"/>
  <c r="J346" i="1"/>
  <c r="G346" i="1"/>
  <c r="A346" i="1"/>
  <c r="Q345" i="1"/>
  <c r="P345" i="1"/>
  <c r="O345" i="1"/>
  <c r="M345" i="1"/>
  <c r="L345" i="1"/>
  <c r="K345" i="1"/>
  <c r="J345" i="1"/>
  <c r="G345" i="1"/>
  <c r="A345" i="1"/>
  <c r="A344" i="1"/>
  <c r="A343" i="1"/>
  <c r="Q342" i="1"/>
  <c r="P342" i="1"/>
  <c r="O342" i="1"/>
  <c r="M342" i="1"/>
  <c r="L342" i="1"/>
  <c r="K342" i="1"/>
  <c r="J342" i="1"/>
  <c r="G342" i="1"/>
  <c r="A342" i="1"/>
  <c r="Q341" i="1"/>
  <c r="P341" i="1"/>
  <c r="O341" i="1"/>
  <c r="M341" i="1"/>
  <c r="L341" i="1"/>
  <c r="K341" i="1"/>
  <c r="J341" i="1"/>
  <c r="G341" i="1"/>
  <c r="A341" i="1"/>
  <c r="Q340" i="1"/>
  <c r="P340" i="1"/>
  <c r="O340" i="1"/>
  <c r="M340" i="1"/>
  <c r="L340" i="1"/>
  <c r="K340" i="1"/>
  <c r="J340" i="1"/>
  <c r="G340" i="1"/>
  <c r="A340" i="1"/>
  <c r="Q339" i="1"/>
  <c r="P339" i="1"/>
  <c r="O339" i="1"/>
  <c r="M339" i="1"/>
  <c r="L339" i="1"/>
  <c r="K339" i="1"/>
  <c r="J339" i="1"/>
  <c r="G339" i="1"/>
  <c r="A339" i="1"/>
  <c r="Q338" i="1"/>
  <c r="P338" i="1"/>
  <c r="O338" i="1"/>
  <c r="M338" i="1"/>
  <c r="L338" i="1"/>
  <c r="K338" i="1"/>
  <c r="J338" i="1"/>
  <c r="G338" i="1"/>
  <c r="A338" i="1"/>
  <c r="A337" i="1"/>
  <c r="A336" i="1"/>
  <c r="Q335" i="1"/>
  <c r="P335" i="1"/>
  <c r="O335" i="1"/>
  <c r="N335" i="1"/>
  <c r="M335" i="1"/>
  <c r="L335" i="1"/>
  <c r="K335" i="1"/>
  <c r="J335" i="1"/>
  <c r="G335" i="1"/>
  <c r="A335" i="1"/>
  <c r="Q334" i="1"/>
  <c r="P334" i="1"/>
  <c r="O334" i="1"/>
  <c r="M334" i="1"/>
  <c r="L334" i="1"/>
  <c r="K334" i="1"/>
  <c r="J334" i="1"/>
  <c r="G334" i="1"/>
  <c r="A334" i="1"/>
  <c r="A333" i="1"/>
  <c r="A332" i="1"/>
  <c r="A331" i="1"/>
  <c r="Q330" i="1"/>
  <c r="P330" i="1"/>
  <c r="O330" i="1"/>
  <c r="M330" i="1"/>
  <c r="L330" i="1"/>
  <c r="K330" i="1"/>
  <c r="J330" i="1"/>
  <c r="G330" i="1"/>
  <c r="A330" i="1"/>
  <c r="Q329" i="1"/>
  <c r="P329" i="1"/>
  <c r="O329" i="1"/>
  <c r="M329" i="1"/>
  <c r="L329" i="1"/>
  <c r="K329" i="1"/>
  <c r="J329" i="1"/>
  <c r="G329" i="1"/>
  <c r="A329" i="1"/>
  <c r="Q328" i="1"/>
  <c r="P328" i="1"/>
  <c r="O328" i="1"/>
  <c r="M328" i="1"/>
  <c r="L328" i="1"/>
  <c r="K328" i="1"/>
  <c r="J328" i="1"/>
  <c r="G328" i="1"/>
  <c r="A328" i="1"/>
  <c r="Q327" i="1"/>
  <c r="P327" i="1"/>
  <c r="O327" i="1"/>
  <c r="M327" i="1"/>
  <c r="L327" i="1"/>
  <c r="K327" i="1"/>
  <c r="J327" i="1"/>
  <c r="G327" i="1"/>
  <c r="A327" i="1"/>
  <c r="Q326" i="1"/>
  <c r="P326" i="1"/>
  <c r="O326" i="1"/>
  <c r="M326" i="1"/>
  <c r="L326" i="1"/>
  <c r="K326" i="1"/>
  <c r="J326" i="1"/>
  <c r="G326" i="1"/>
  <c r="A326" i="1"/>
  <c r="Q325" i="1"/>
  <c r="P325" i="1"/>
  <c r="O325" i="1"/>
  <c r="M325" i="1"/>
  <c r="L325" i="1"/>
  <c r="K325" i="1"/>
  <c r="J325" i="1"/>
  <c r="G325" i="1"/>
  <c r="A325" i="1"/>
  <c r="Q324" i="1"/>
  <c r="P324" i="1"/>
  <c r="O324" i="1"/>
  <c r="M324" i="1"/>
  <c r="L324" i="1"/>
  <c r="K324" i="1"/>
  <c r="J324" i="1"/>
  <c r="G324" i="1"/>
  <c r="A324" i="1"/>
  <c r="Q323" i="1"/>
  <c r="P323" i="1"/>
  <c r="O323" i="1"/>
  <c r="M323" i="1"/>
  <c r="L323" i="1"/>
  <c r="K323" i="1"/>
  <c r="J323" i="1"/>
  <c r="G323" i="1"/>
  <c r="A323" i="1"/>
  <c r="Q322" i="1"/>
  <c r="P322" i="1"/>
  <c r="O322" i="1"/>
  <c r="M322" i="1"/>
  <c r="L322" i="1"/>
  <c r="K322" i="1"/>
  <c r="J322" i="1"/>
  <c r="G322" i="1"/>
  <c r="A322" i="1"/>
  <c r="Q321" i="1"/>
  <c r="P321" i="1"/>
  <c r="O321" i="1"/>
  <c r="M321" i="1"/>
  <c r="L321" i="1"/>
  <c r="K321" i="1"/>
  <c r="J321" i="1"/>
  <c r="G321" i="1"/>
  <c r="A321" i="1"/>
  <c r="Q320" i="1"/>
  <c r="P320" i="1"/>
  <c r="O320" i="1"/>
  <c r="M320" i="1"/>
  <c r="L320" i="1"/>
  <c r="K320" i="1"/>
  <c r="J320" i="1"/>
  <c r="G320" i="1"/>
  <c r="A320" i="1"/>
  <c r="Q319" i="1"/>
  <c r="P319" i="1"/>
  <c r="O319" i="1"/>
  <c r="M319" i="1"/>
  <c r="L319" i="1"/>
  <c r="K319" i="1"/>
  <c r="J319" i="1"/>
  <c r="G319" i="1"/>
  <c r="A319" i="1"/>
  <c r="Q318" i="1"/>
  <c r="P318" i="1"/>
  <c r="O318" i="1"/>
  <c r="M318" i="1"/>
  <c r="L318" i="1"/>
  <c r="K318" i="1"/>
  <c r="J318" i="1"/>
  <c r="G318" i="1"/>
  <c r="A318" i="1"/>
  <c r="Q317" i="1"/>
  <c r="P317" i="1"/>
  <c r="O317" i="1"/>
  <c r="M317" i="1"/>
  <c r="L317" i="1"/>
  <c r="K317" i="1"/>
  <c r="J317" i="1"/>
  <c r="G317" i="1"/>
  <c r="A317" i="1"/>
  <c r="Q316" i="1"/>
  <c r="P316" i="1"/>
  <c r="O316" i="1"/>
  <c r="M316" i="1"/>
  <c r="L316" i="1"/>
  <c r="K316" i="1"/>
  <c r="J316" i="1"/>
  <c r="G316" i="1"/>
  <c r="A316" i="1"/>
  <c r="Q315" i="1"/>
  <c r="P315" i="1"/>
  <c r="O315" i="1"/>
  <c r="M315" i="1"/>
  <c r="L315" i="1"/>
  <c r="K315" i="1"/>
  <c r="J315" i="1"/>
  <c r="G315" i="1"/>
  <c r="A315" i="1"/>
  <c r="Q314" i="1"/>
  <c r="P314" i="1"/>
  <c r="O314" i="1"/>
  <c r="M314" i="1"/>
  <c r="L314" i="1"/>
  <c r="K314" i="1"/>
  <c r="J314" i="1"/>
  <c r="G314" i="1"/>
  <c r="A314" i="1"/>
  <c r="Q313" i="1"/>
  <c r="P313" i="1"/>
  <c r="O313" i="1"/>
  <c r="M313" i="1"/>
  <c r="L313" i="1"/>
  <c r="K313" i="1"/>
  <c r="J313" i="1"/>
  <c r="G313" i="1"/>
  <c r="A313" i="1"/>
  <c r="Q312" i="1"/>
  <c r="P312" i="1"/>
  <c r="O312" i="1"/>
  <c r="M312" i="1"/>
  <c r="L312" i="1"/>
  <c r="K312" i="1"/>
  <c r="J312" i="1"/>
  <c r="G312" i="1"/>
  <c r="A312" i="1"/>
  <c r="Q311" i="1"/>
  <c r="P311" i="1"/>
  <c r="O311" i="1"/>
  <c r="M311" i="1"/>
  <c r="L311" i="1"/>
  <c r="K311" i="1"/>
  <c r="J311" i="1"/>
  <c r="G311" i="1"/>
  <c r="A311" i="1"/>
  <c r="Q310" i="1"/>
  <c r="P310" i="1"/>
  <c r="O310" i="1"/>
  <c r="M310" i="1"/>
  <c r="L310" i="1"/>
  <c r="K310" i="1"/>
  <c r="J310" i="1"/>
  <c r="G310" i="1"/>
  <c r="A310" i="1"/>
  <c r="Q309" i="1"/>
  <c r="P309" i="1"/>
  <c r="O309" i="1"/>
  <c r="M309" i="1"/>
  <c r="L309" i="1"/>
  <c r="K309" i="1"/>
  <c r="J309" i="1"/>
  <c r="G309" i="1"/>
  <c r="A309" i="1"/>
  <c r="Q308" i="1"/>
  <c r="P308" i="1"/>
  <c r="O308" i="1"/>
  <c r="N308" i="1"/>
  <c r="M308" i="1"/>
  <c r="L308" i="1"/>
  <c r="K308" i="1"/>
  <c r="J308" i="1"/>
  <c r="G308" i="1"/>
  <c r="A308" i="1"/>
  <c r="Q307" i="1"/>
  <c r="P307" i="1"/>
  <c r="O307" i="1"/>
  <c r="M307" i="1"/>
  <c r="L307" i="1"/>
  <c r="K307" i="1"/>
  <c r="J307" i="1"/>
  <c r="G307" i="1"/>
  <c r="A307" i="1"/>
  <c r="Q306" i="1"/>
  <c r="P306" i="1"/>
  <c r="O306" i="1"/>
  <c r="M306" i="1"/>
  <c r="L306" i="1"/>
  <c r="K306" i="1"/>
  <c r="J306" i="1"/>
  <c r="G306" i="1"/>
  <c r="A306" i="1"/>
  <c r="Q305" i="1"/>
  <c r="P305" i="1"/>
  <c r="O305" i="1"/>
  <c r="M305" i="1"/>
  <c r="L305" i="1"/>
  <c r="K305" i="1"/>
  <c r="J305" i="1"/>
  <c r="G305" i="1"/>
  <c r="A305" i="1"/>
  <c r="Q304" i="1"/>
  <c r="P304" i="1"/>
  <c r="O304" i="1"/>
  <c r="M304" i="1"/>
  <c r="L304" i="1"/>
  <c r="K304" i="1"/>
  <c r="J304" i="1"/>
  <c r="G304" i="1"/>
  <c r="A304" i="1"/>
  <c r="Q303" i="1"/>
  <c r="P303" i="1"/>
  <c r="O303" i="1"/>
  <c r="M303" i="1"/>
  <c r="L303" i="1"/>
  <c r="K303" i="1"/>
  <c r="J303" i="1"/>
  <c r="G303" i="1"/>
  <c r="A303" i="1"/>
  <c r="Q302" i="1"/>
  <c r="P302" i="1"/>
  <c r="O302" i="1"/>
  <c r="M302" i="1"/>
  <c r="L302" i="1"/>
  <c r="K302" i="1"/>
  <c r="J302" i="1"/>
  <c r="G302" i="1"/>
  <c r="A302" i="1"/>
  <c r="Q301" i="1"/>
  <c r="P301" i="1"/>
  <c r="O301" i="1"/>
  <c r="M301" i="1"/>
  <c r="L301" i="1"/>
  <c r="K301" i="1"/>
  <c r="J301" i="1"/>
  <c r="G301" i="1"/>
  <c r="A301" i="1"/>
  <c r="Q300" i="1"/>
  <c r="P300" i="1"/>
  <c r="O300" i="1"/>
  <c r="M300" i="1"/>
  <c r="L300" i="1"/>
  <c r="K300" i="1"/>
  <c r="J300" i="1"/>
  <c r="G300" i="1"/>
  <c r="A300" i="1"/>
  <c r="Q299" i="1"/>
  <c r="P299" i="1"/>
  <c r="O299" i="1"/>
  <c r="M299" i="1"/>
  <c r="L299" i="1"/>
  <c r="K299" i="1"/>
  <c r="J299" i="1"/>
  <c r="G299" i="1"/>
  <c r="A299" i="1"/>
  <c r="Q298" i="1"/>
  <c r="P298" i="1"/>
  <c r="O298" i="1"/>
  <c r="N298" i="1"/>
  <c r="M298" i="1"/>
  <c r="L298" i="1"/>
  <c r="K298" i="1"/>
  <c r="J298" i="1"/>
  <c r="G298" i="1"/>
  <c r="A298" i="1"/>
  <c r="Q297" i="1"/>
  <c r="P297" i="1"/>
  <c r="O297" i="1"/>
  <c r="M297" i="1"/>
  <c r="L297" i="1"/>
  <c r="K297" i="1"/>
  <c r="J297" i="1"/>
  <c r="G297" i="1"/>
  <c r="A297" i="1"/>
  <c r="A296" i="1"/>
  <c r="A295" i="1"/>
  <c r="Q294" i="1"/>
  <c r="P294" i="1"/>
  <c r="O294" i="1"/>
  <c r="N294" i="1"/>
  <c r="M294" i="1"/>
  <c r="L294" i="1"/>
  <c r="K294" i="1"/>
  <c r="J294" i="1"/>
  <c r="G294" i="1"/>
  <c r="A294" i="1"/>
  <c r="Q293" i="1"/>
  <c r="P293" i="1"/>
  <c r="O293" i="1"/>
  <c r="M293" i="1"/>
  <c r="L293" i="1"/>
  <c r="K293" i="1"/>
  <c r="J293" i="1"/>
  <c r="G293" i="1"/>
  <c r="A293" i="1"/>
  <c r="Q292" i="1"/>
  <c r="P292" i="1"/>
  <c r="O292" i="1"/>
  <c r="M292" i="1"/>
  <c r="L292" i="1"/>
  <c r="K292" i="1"/>
  <c r="J292" i="1"/>
  <c r="G292" i="1"/>
  <c r="A292" i="1"/>
  <c r="Q291" i="1"/>
  <c r="P291" i="1"/>
  <c r="O291" i="1"/>
  <c r="M291" i="1"/>
  <c r="L291" i="1"/>
  <c r="K291" i="1"/>
  <c r="J291" i="1"/>
  <c r="G291" i="1"/>
  <c r="A291" i="1"/>
  <c r="A290" i="1"/>
  <c r="A289" i="1"/>
  <c r="Q288" i="1"/>
  <c r="P288" i="1"/>
  <c r="O288" i="1"/>
  <c r="M288" i="1"/>
  <c r="L288" i="1"/>
  <c r="K288" i="1"/>
  <c r="J288" i="1"/>
  <c r="G288" i="1"/>
  <c r="A288" i="1"/>
  <c r="Q287" i="1"/>
  <c r="P287" i="1"/>
  <c r="O287" i="1"/>
  <c r="N287" i="1"/>
  <c r="M287" i="1"/>
  <c r="L287" i="1"/>
  <c r="K287" i="1"/>
  <c r="J287" i="1"/>
  <c r="G287" i="1"/>
  <c r="A287" i="1"/>
  <c r="Q286" i="1"/>
  <c r="P286" i="1"/>
  <c r="O286" i="1"/>
  <c r="N286" i="1"/>
  <c r="M286" i="1"/>
  <c r="L286" i="1"/>
  <c r="K286" i="1"/>
  <c r="J286" i="1"/>
  <c r="G286" i="1"/>
  <c r="A286" i="1"/>
  <c r="Q285" i="1"/>
  <c r="P285" i="1"/>
  <c r="O285" i="1"/>
  <c r="N285" i="1"/>
  <c r="M285" i="1"/>
  <c r="L285" i="1"/>
  <c r="K285" i="1"/>
  <c r="J285" i="1"/>
  <c r="G285" i="1"/>
  <c r="A285" i="1"/>
  <c r="Q284" i="1"/>
  <c r="P284" i="1"/>
  <c r="O284" i="1"/>
  <c r="N284" i="1"/>
  <c r="M284" i="1"/>
  <c r="L284" i="1"/>
  <c r="K284" i="1"/>
  <c r="J284" i="1"/>
  <c r="G284" i="1"/>
  <c r="A284" i="1"/>
  <c r="Q283" i="1"/>
  <c r="P283" i="1"/>
  <c r="O283" i="1"/>
  <c r="M283" i="1"/>
  <c r="L283" i="1"/>
  <c r="K283" i="1"/>
  <c r="J283" i="1"/>
  <c r="G283" i="1"/>
  <c r="A283" i="1"/>
  <c r="Q282" i="1"/>
  <c r="P282" i="1"/>
  <c r="O282" i="1"/>
  <c r="N282" i="1"/>
  <c r="M282" i="1"/>
  <c r="L282" i="1"/>
  <c r="K282" i="1"/>
  <c r="J282" i="1"/>
  <c r="G282" i="1"/>
  <c r="A282" i="1"/>
  <c r="A281" i="1"/>
  <c r="A280" i="1"/>
  <c r="A279" i="1"/>
  <c r="A278" i="1"/>
  <c r="Q277" i="1"/>
  <c r="A277" i="1"/>
  <c r="A276" i="1"/>
  <c r="Q275" i="1"/>
  <c r="P275" i="1"/>
  <c r="O275" i="1"/>
  <c r="M275" i="1"/>
  <c r="L275" i="1"/>
  <c r="K275" i="1"/>
  <c r="J275" i="1"/>
  <c r="G275" i="1"/>
  <c r="A275" i="1"/>
  <c r="Q274" i="1"/>
  <c r="P274" i="1"/>
  <c r="O274" i="1"/>
  <c r="M274" i="1"/>
  <c r="L274" i="1"/>
  <c r="K274" i="1"/>
  <c r="J274" i="1"/>
  <c r="G274" i="1"/>
  <c r="A274" i="1"/>
  <c r="Q273" i="1"/>
  <c r="P273" i="1"/>
  <c r="O273" i="1"/>
  <c r="M273" i="1"/>
  <c r="L273" i="1"/>
  <c r="K273" i="1"/>
  <c r="J273" i="1"/>
  <c r="G273" i="1"/>
  <c r="A273" i="1"/>
  <c r="A272" i="1"/>
  <c r="A271" i="1"/>
  <c r="Q270" i="1"/>
  <c r="P270" i="1"/>
  <c r="O270" i="1"/>
  <c r="M270" i="1"/>
  <c r="L270" i="1"/>
  <c r="K270" i="1"/>
  <c r="J270" i="1"/>
  <c r="G270" i="1"/>
  <c r="A270" i="1"/>
  <c r="Q269" i="1"/>
  <c r="P269" i="1"/>
  <c r="O269" i="1"/>
  <c r="M269" i="1"/>
  <c r="L269" i="1"/>
  <c r="K269" i="1"/>
  <c r="J269" i="1"/>
  <c r="G269" i="1"/>
  <c r="A269" i="1"/>
  <c r="Q268" i="1"/>
  <c r="P268" i="1"/>
  <c r="O268" i="1"/>
  <c r="M268" i="1"/>
  <c r="L268" i="1"/>
  <c r="K268" i="1"/>
  <c r="J268" i="1"/>
  <c r="G268" i="1"/>
  <c r="A268" i="1"/>
  <c r="Q267" i="1"/>
  <c r="P267" i="1"/>
  <c r="O267" i="1"/>
  <c r="M267" i="1"/>
  <c r="L267" i="1"/>
  <c r="K267" i="1"/>
  <c r="J267" i="1"/>
  <c r="G267" i="1"/>
  <c r="A267" i="1"/>
  <c r="Q266" i="1"/>
  <c r="P266" i="1"/>
  <c r="O266" i="1"/>
  <c r="M266" i="1"/>
  <c r="L266" i="1"/>
  <c r="K266" i="1"/>
  <c r="J266" i="1"/>
  <c r="G266" i="1"/>
  <c r="A266" i="1"/>
  <c r="Q265" i="1"/>
  <c r="P265" i="1"/>
  <c r="O265" i="1"/>
  <c r="M265" i="1"/>
  <c r="L265" i="1"/>
  <c r="K265" i="1"/>
  <c r="J265" i="1"/>
  <c r="G265" i="1"/>
  <c r="A265" i="1"/>
  <c r="Q264" i="1"/>
  <c r="P264" i="1"/>
  <c r="O264" i="1"/>
  <c r="M264" i="1"/>
  <c r="L264" i="1"/>
  <c r="K264" i="1"/>
  <c r="J264" i="1"/>
  <c r="G264" i="1"/>
  <c r="A264" i="1"/>
  <c r="Q263" i="1"/>
  <c r="P263" i="1"/>
  <c r="O263" i="1"/>
  <c r="M263" i="1"/>
  <c r="L263" i="1"/>
  <c r="K263" i="1"/>
  <c r="J263" i="1"/>
  <c r="G263" i="1"/>
  <c r="A263" i="1"/>
  <c r="Q262" i="1"/>
  <c r="P262" i="1"/>
  <c r="O262" i="1"/>
  <c r="M262" i="1"/>
  <c r="L262" i="1"/>
  <c r="K262" i="1"/>
  <c r="J262" i="1"/>
  <c r="G262" i="1"/>
  <c r="A262" i="1"/>
  <c r="Q261" i="1"/>
  <c r="P261" i="1"/>
  <c r="O261" i="1"/>
  <c r="M261" i="1"/>
  <c r="L261" i="1"/>
  <c r="K261" i="1"/>
  <c r="J261" i="1"/>
  <c r="G261" i="1"/>
  <c r="A261" i="1"/>
  <c r="Q260" i="1"/>
  <c r="P260" i="1"/>
  <c r="O260" i="1"/>
  <c r="M260" i="1"/>
  <c r="L260" i="1"/>
  <c r="K260" i="1"/>
  <c r="J260" i="1"/>
  <c r="G260" i="1"/>
  <c r="A260" i="1"/>
  <c r="Q259" i="1"/>
  <c r="P259" i="1"/>
  <c r="O259" i="1"/>
  <c r="M259" i="1"/>
  <c r="L259" i="1"/>
  <c r="K259" i="1"/>
  <c r="J259" i="1"/>
  <c r="G259" i="1"/>
  <c r="A259" i="1"/>
  <c r="Q258" i="1"/>
  <c r="P258" i="1"/>
  <c r="O258" i="1"/>
  <c r="M258" i="1"/>
  <c r="L258" i="1"/>
  <c r="K258" i="1"/>
  <c r="J258" i="1"/>
  <c r="G258" i="1"/>
  <c r="A258" i="1"/>
  <c r="Q257" i="1"/>
  <c r="P257" i="1"/>
  <c r="O257" i="1"/>
  <c r="M257" i="1"/>
  <c r="L257" i="1"/>
  <c r="K257" i="1"/>
  <c r="J257" i="1"/>
  <c r="G257" i="1"/>
  <c r="A257" i="1"/>
  <c r="Q256" i="1"/>
  <c r="P256" i="1"/>
  <c r="O256" i="1"/>
  <c r="M256" i="1"/>
  <c r="L256" i="1"/>
  <c r="K256" i="1"/>
  <c r="J256" i="1"/>
  <c r="G256" i="1"/>
  <c r="A256" i="1"/>
  <c r="Q255" i="1"/>
  <c r="P255" i="1"/>
  <c r="O255" i="1"/>
  <c r="M255" i="1"/>
  <c r="L255" i="1"/>
  <c r="K255" i="1"/>
  <c r="J255" i="1"/>
  <c r="G255" i="1"/>
  <c r="A255" i="1"/>
  <c r="Q254" i="1"/>
  <c r="P254" i="1"/>
  <c r="O254" i="1"/>
  <c r="M254" i="1"/>
  <c r="L254" i="1"/>
  <c r="K254" i="1"/>
  <c r="J254" i="1"/>
  <c r="G254" i="1"/>
  <c r="A254" i="1"/>
  <c r="Q253" i="1"/>
  <c r="P253" i="1"/>
  <c r="O253" i="1"/>
  <c r="M253" i="1"/>
  <c r="L253" i="1"/>
  <c r="K253" i="1"/>
  <c r="J253" i="1"/>
  <c r="G253" i="1"/>
  <c r="A253" i="1"/>
  <c r="Q252" i="1"/>
  <c r="P252" i="1"/>
  <c r="O252" i="1"/>
  <c r="M252" i="1"/>
  <c r="L252" i="1"/>
  <c r="K252" i="1"/>
  <c r="J252" i="1"/>
  <c r="G252" i="1"/>
  <c r="A252" i="1"/>
  <c r="Q251" i="1"/>
  <c r="P251" i="1"/>
  <c r="O251" i="1"/>
  <c r="M251" i="1"/>
  <c r="L251" i="1"/>
  <c r="K251" i="1"/>
  <c r="J251" i="1"/>
  <c r="G251" i="1"/>
  <c r="A251" i="1"/>
  <c r="Q250" i="1"/>
  <c r="P250" i="1"/>
  <c r="O250" i="1"/>
  <c r="M250" i="1"/>
  <c r="L250" i="1"/>
  <c r="K250" i="1"/>
  <c r="J250" i="1"/>
  <c r="G250" i="1"/>
  <c r="A250" i="1"/>
  <c r="Q249" i="1"/>
  <c r="P249" i="1"/>
  <c r="O249" i="1"/>
  <c r="M249" i="1"/>
  <c r="L249" i="1"/>
  <c r="K249" i="1"/>
  <c r="J249" i="1"/>
  <c r="G249" i="1"/>
  <c r="A249" i="1"/>
  <c r="Q248" i="1"/>
  <c r="P248" i="1"/>
  <c r="O248" i="1"/>
  <c r="M248" i="1"/>
  <c r="L248" i="1"/>
  <c r="K248" i="1"/>
  <c r="J248" i="1"/>
  <c r="G248" i="1"/>
  <c r="A248" i="1"/>
  <c r="Q247" i="1"/>
  <c r="P247" i="1"/>
  <c r="O247" i="1"/>
  <c r="M247" i="1"/>
  <c r="L247" i="1"/>
  <c r="K247" i="1"/>
  <c r="J247" i="1"/>
  <c r="G247" i="1"/>
  <c r="A247" i="1"/>
  <c r="A246" i="1"/>
  <c r="A245" i="1"/>
  <c r="Q244" i="1"/>
  <c r="P244" i="1"/>
  <c r="O244" i="1"/>
  <c r="M244" i="1"/>
  <c r="L244" i="1"/>
  <c r="K244" i="1"/>
  <c r="J244" i="1"/>
  <c r="G244" i="1"/>
  <c r="A244" i="1"/>
  <c r="Q243" i="1"/>
  <c r="P243" i="1"/>
  <c r="O243" i="1"/>
  <c r="M243" i="1"/>
  <c r="L243" i="1"/>
  <c r="K243" i="1"/>
  <c r="J243" i="1"/>
  <c r="G243" i="1"/>
  <c r="A243" i="1"/>
  <c r="A242" i="1"/>
  <c r="A241" i="1"/>
  <c r="Q240" i="1"/>
  <c r="P240" i="1"/>
  <c r="O240" i="1"/>
  <c r="N240" i="1"/>
  <c r="M240" i="1"/>
  <c r="L240" i="1"/>
  <c r="K240" i="1"/>
  <c r="J240" i="1"/>
  <c r="I240" i="1"/>
  <c r="G240" i="1"/>
  <c r="A240" i="1"/>
  <c r="Q239" i="1"/>
  <c r="P239" i="1"/>
  <c r="O239" i="1"/>
  <c r="N239" i="1"/>
  <c r="M239" i="1"/>
  <c r="L239" i="1"/>
  <c r="K239" i="1"/>
  <c r="J239" i="1"/>
  <c r="I239" i="1"/>
  <c r="G239" i="1"/>
  <c r="A239" i="1"/>
  <c r="Q238" i="1"/>
  <c r="P238" i="1"/>
  <c r="O238" i="1"/>
  <c r="M238" i="1"/>
  <c r="L238" i="1"/>
  <c r="K238" i="1"/>
  <c r="J238" i="1"/>
  <c r="G238" i="1"/>
  <c r="A238" i="1"/>
  <c r="Q237" i="1"/>
  <c r="P237" i="1"/>
  <c r="O237" i="1"/>
  <c r="M237" i="1"/>
  <c r="L237" i="1"/>
  <c r="K237" i="1"/>
  <c r="J237" i="1"/>
  <c r="G237" i="1"/>
  <c r="A237" i="1"/>
  <c r="Q236" i="1"/>
  <c r="P236" i="1"/>
  <c r="O236" i="1"/>
  <c r="M236" i="1"/>
  <c r="L236" i="1"/>
  <c r="K236" i="1"/>
  <c r="J236" i="1"/>
  <c r="G236" i="1"/>
  <c r="A236" i="1"/>
  <c r="Q235" i="1"/>
  <c r="P235" i="1"/>
  <c r="O235" i="1"/>
  <c r="M235" i="1"/>
  <c r="L235" i="1"/>
  <c r="K235" i="1"/>
  <c r="J235" i="1"/>
  <c r="G235" i="1"/>
  <c r="A235" i="1"/>
  <c r="Q234" i="1"/>
  <c r="P234" i="1"/>
  <c r="O234" i="1"/>
  <c r="M234" i="1"/>
  <c r="L234" i="1"/>
  <c r="K234" i="1"/>
  <c r="J234" i="1"/>
  <c r="G234" i="1"/>
  <c r="A234" i="1"/>
  <c r="Q233" i="1"/>
  <c r="P233" i="1"/>
  <c r="O233" i="1"/>
  <c r="M233" i="1"/>
  <c r="L233" i="1"/>
  <c r="K233" i="1"/>
  <c r="J233" i="1"/>
  <c r="G233" i="1"/>
  <c r="A233" i="1"/>
  <c r="A232" i="1"/>
  <c r="A231" i="1"/>
  <c r="Q230" i="1"/>
  <c r="P230" i="1"/>
  <c r="O230" i="1"/>
  <c r="N230" i="1"/>
  <c r="M230" i="1"/>
  <c r="L230" i="1"/>
  <c r="K230" i="1"/>
  <c r="J230" i="1"/>
  <c r="I230" i="1"/>
  <c r="G230" i="1"/>
  <c r="A230" i="1"/>
  <c r="Q229" i="1"/>
  <c r="P229" i="1"/>
  <c r="O229" i="1"/>
  <c r="N229" i="1"/>
  <c r="M229" i="1"/>
  <c r="L229" i="1"/>
  <c r="K229" i="1"/>
  <c r="J229" i="1"/>
  <c r="I229" i="1"/>
  <c r="G229" i="1"/>
  <c r="A229" i="1"/>
  <c r="Q228" i="1"/>
  <c r="P228" i="1"/>
  <c r="O228" i="1"/>
  <c r="N228" i="1"/>
  <c r="M228" i="1"/>
  <c r="L228" i="1"/>
  <c r="K228" i="1"/>
  <c r="J228" i="1"/>
  <c r="I228" i="1"/>
  <c r="G228" i="1"/>
  <c r="A228" i="1"/>
  <c r="Q227" i="1"/>
  <c r="P227" i="1"/>
  <c r="O227" i="1"/>
  <c r="N227" i="1"/>
  <c r="M227" i="1"/>
  <c r="L227" i="1"/>
  <c r="K227" i="1"/>
  <c r="J227" i="1"/>
  <c r="I227" i="1"/>
  <c r="G227" i="1"/>
  <c r="A227" i="1"/>
  <c r="Q226" i="1"/>
  <c r="P226" i="1"/>
  <c r="O226" i="1"/>
  <c r="N226" i="1"/>
  <c r="M226" i="1"/>
  <c r="L226" i="1"/>
  <c r="K226" i="1"/>
  <c r="J226" i="1"/>
  <c r="I226" i="1"/>
  <c r="G226" i="1"/>
  <c r="A226" i="1"/>
  <c r="Q225" i="1"/>
  <c r="P225" i="1"/>
  <c r="O225" i="1"/>
  <c r="M225" i="1"/>
  <c r="L225" i="1"/>
  <c r="K225" i="1"/>
  <c r="J225" i="1"/>
  <c r="G225" i="1"/>
  <c r="A225" i="1"/>
  <c r="Q224" i="1"/>
  <c r="P224" i="1"/>
  <c r="O224" i="1"/>
  <c r="M224" i="1"/>
  <c r="L224" i="1"/>
  <c r="K224" i="1"/>
  <c r="J224" i="1"/>
  <c r="G224" i="1"/>
  <c r="A224" i="1"/>
  <c r="Q223" i="1"/>
  <c r="P223" i="1"/>
  <c r="O223" i="1"/>
  <c r="M223" i="1"/>
  <c r="L223" i="1"/>
  <c r="K223" i="1"/>
  <c r="J223" i="1"/>
  <c r="G223" i="1"/>
  <c r="A223" i="1"/>
  <c r="Q222" i="1"/>
  <c r="P222" i="1"/>
  <c r="O222" i="1"/>
  <c r="N222" i="1"/>
  <c r="M222" i="1"/>
  <c r="L222" i="1"/>
  <c r="K222" i="1"/>
  <c r="J222" i="1"/>
  <c r="I222" i="1"/>
  <c r="G222" i="1"/>
  <c r="A222" i="1"/>
  <c r="Q221" i="1"/>
  <c r="P221" i="1"/>
  <c r="O221" i="1"/>
  <c r="N221" i="1"/>
  <c r="M221" i="1"/>
  <c r="L221" i="1"/>
  <c r="K221" i="1"/>
  <c r="J221" i="1"/>
  <c r="I221" i="1"/>
  <c r="G221" i="1"/>
  <c r="A221" i="1"/>
  <c r="Q220" i="1"/>
  <c r="P220" i="1"/>
  <c r="O220" i="1"/>
  <c r="M220" i="1"/>
  <c r="L220" i="1"/>
  <c r="K220" i="1"/>
  <c r="J220" i="1"/>
  <c r="G220" i="1"/>
  <c r="A220" i="1"/>
  <c r="Q219" i="1"/>
  <c r="P219" i="1"/>
  <c r="O219" i="1"/>
  <c r="M219" i="1"/>
  <c r="L219" i="1"/>
  <c r="K219" i="1"/>
  <c r="J219" i="1"/>
  <c r="G219" i="1"/>
  <c r="A219" i="1"/>
  <c r="Q218" i="1"/>
  <c r="P218" i="1"/>
  <c r="O218" i="1"/>
  <c r="N218" i="1"/>
  <c r="M218" i="1"/>
  <c r="L218" i="1"/>
  <c r="K218" i="1"/>
  <c r="J218" i="1"/>
  <c r="I218" i="1"/>
  <c r="G218" i="1"/>
  <c r="A218" i="1"/>
  <c r="Q217" i="1"/>
  <c r="P217" i="1"/>
  <c r="O217" i="1"/>
  <c r="N217" i="1"/>
  <c r="M217" i="1"/>
  <c r="L217" i="1"/>
  <c r="K217" i="1"/>
  <c r="J217" i="1"/>
  <c r="I217" i="1"/>
  <c r="G217" i="1"/>
  <c r="A217" i="1"/>
  <c r="Q216" i="1"/>
  <c r="P216" i="1"/>
  <c r="O216" i="1"/>
  <c r="N216" i="1"/>
  <c r="M216" i="1"/>
  <c r="L216" i="1"/>
  <c r="K216" i="1"/>
  <c r="J216" i="1"/>
  <c r="I216" i="1"/>
  <c r="G216" i="1"/>
  <c r="A216" i="1"/>
  <c r="Q215" i="1"/>
  <c r="P215" i="1"/>
  <c r="O215" i="1"/>
  <c r="N215" i="1"/>
  <c r="M215" i="1"/>
  <c r="L215" i="1"/>
  <c r="K215" i="1"/>
  <c r="J215" i="1"/>
  <c r="I215" i="1"/>
  <c r="G215" i="1"/>
  <c r="A215" i="1"/>
  <c r="Q214" i="1"/>
  <c r="P214" i="1"/>
  <c r="O214" i="1"/>
  <c r="N214" i="1"/>
  <c r="M214" i="1"/>
  <c r="L214" i="1"/>
  <c r="K214" i="1"/>
  <c r="J214" i="1"/>
  <c r="I214" i="1"/>
  <c r="G214" i="1"/>
  <c r="A214" i="1"/>
  <c r="Q213" i="1"/>
  <c r="P213" i="1"/>
  <c r="O213" i="1"/>
  <c r="N213" i="1"/>
  <c r="M213" i="1"/>
  <c r="L213" i="1"/>
  <c r="K213" i="1"/>
  <c r="J213" i="1"/>
  <c r="I213" i="1"/>
  <c r="G213" i="1"/>
  <c r="A213" i="1"/>
  <c r="Q212" i="1"/>
  <c r="P212" i="1"/>
  <c r="O212" i="1"/>
  <c r="N212" i="1"/>
  <c r="M212" i="1"/>
  <c r="L212" i="1"/>
  <c r="K212" i="1"/>
  <c r="J212" i="1"/>
  <c r="I212" i="1"/>
  <c r="G212" i="1"/>
  <c r="A212" i="1"/>
  <c r="Q211" i="1"/>
  <c r="P211" i="1"/>
  <c r="O211" i="1"/>
  <c r="N211" i="1"/>
  <c r="M211" i="1"/>
  <c r="L211" i="1"/>
  <c r="K211" i="1"/>
  <c r="J211" i="1"/>
  <c r="I211" i="1"/>
  <c r="G211" i="1"/>
  <c r="A211" i="1"/>
  <c r="Q210" i="1"/>
  <c r="P210" i="1"/>
  <c r="O210" i="1"/>
  <c r="N210" i="1"/>
  <c r="M210" i="1"/>
  <c r="L210" i="1"/>
  <c r="K210" i="1"/>
  <c r="J210" i="1"/>
  <c r="I210" i="1"/>
  <c r="G210" i="1"/>
  <c r="A210" i="1"/>
  <c r="Q209" i="1"/>
  <c r="P209" i="1"/>
  <c r="O209" i="1"/>
  <c r="N209" i="1"/>
  <c r="M209" i="1"/>
  <c r="L209" i="1"/>
  <c r="K209" i="1"/>
  <c r="J209" i="1"/>
  <c r="I209" i="1"/>
  <c r="G209" i="1"/>
  <c r="A209" i="1"/>
  <c r="Q208" i="1"/>
  <c r="P208" i="1"/>
  <c r="O208" i="1"/>
  <c r="N208" i="1"/>
  <c r="M208" i="1"/>
  <c r="L208" i="1"/>
  <c r="K208" i="1"/>
  <c r="J208" i="1"/>
  <c r="I208" i="1"/>
  <c r="G208" i="1"/>
  <c r="A208" i="1"/>
  <c r="Q207" i="1"/>
  <c r="P207" i="1"/>
  <c r="O207" i="1"/>
  <c r="N207" i="1"/>
  <c r="M207" i="1"/>
  <c r="L207" i="1"/>
  <c r="K207" i="1"/>
  <c r="J207" i="1"/>
  <c r="I207" i="1"/>
  <c r="G207" i="1"/>
  <c r="A207" i="1"/>
  <c r="Q206" i="1"/>
  <c r="P206" i="1"/>
  <c r="O206" i="1"/>
  <c r="M206" i="1"/>
  <c r="L206" i="1"/>
  <c r="K206" i="1"/>
  <c r="J206" i="1"/>
  <c r="G206" i="1"/>
  <c r="A206" i="1"/>
  <c r="Q205" i="1"/>
  <c r="P205" i="1"/>
  <c r="O205" i="1"/>
  <c r="N205" i="1"/>
  <c r="M205" i="1"/>
  <c r="L205" i="1"/>
  <c r="K205" i="1"/>
  <c r="J205" i="1"/>
  <c r="I205" i="1"/>
  <c r="G205" i="1"/>
  <c r="A205" i="1"/>
  <c r="Q204" i="1"/>
  <c r="P204" i="1"/>
  <c r="O204" i="1"/>
  <c r="N204" i="1"/>
  <c r="M204" i="1"/>
  <c r="L204" i="1"/>
  <c r="K204" i="1"/>
  <c r="J204" i="1"/>
  <c r="I204" i="1"/>
  <c r="G204" i="1"/>
  <c r="A204" i="1"/>
  <c r="Q203" i="1"/>
  <c r="P203" i="1"/>
  <c r="O203" i="1"/>
  <c r="M203" i="1"/>
  <c r="L203" i="1"/>
  <c r="K203" i="1"/>
  <c r="J203" i="1"/>
  <c r="G203" i="1"/>
  <c r="A203" i="1"/>
  <c r="Q202" i="1"/>
  <c r="P202" i="1"/>
  <c r="O202" i="1"/>
  <c r="M202" i="1"/>
  <c r="L202" i="1"/>
  <c r="K202" i="1"/>
  <c r="J202" i="1"/>
  <c r="G202" i="1"/>
  <c r="A202" i="1"/>
  <c r="Q201" i="1"/>
  <c r="P201" i="1"/>
  <c r="O201" i="1"/>
  <c r="M201" i="1"/>
  <c r="L201" i="1"/>
  <c r="K201" i="1"/>
  <c r="J201" i="1"/>
  <c r="G201" i="1"/>
  <c r="A201" i="1"/>
  <c r="Q200" i="1"/>
  <c r="P200" i="1"/>
  <c r="O200" i="1"/>
  <c r="M200" i="1"/>
  <c r="L200" i="1"/>
  <c r="K200" i="1"/>
  <c r="J200" i="1"/>
  <c r="G200" i="1"/>
  <c r="A200" i="1"/>
  <c r="Q199" i="1"/>
  <c r="P199" i="1"/>
  <c r="O199" i="1"/>
  <c r="M199" i="1"/>
  <c r="L199" i="1"/>
  <c r="K199" i="1"/>
  <c r="J199" i="1"/>
  <c r="G199" i="1"/>
  <c r="A199" i="1"/>
  <c r="Q198" i="1"/>
  <c r="P198" i="1"/>
  <c r="O198" i="1"/>
  <c r="M198" i="1"/>
  <c r="L198" i="1"/>
  <c r="K198" i="1"/>
  <c r="J198" i="1"/>
  <c r="G198" i="1"/>
  <c r="A198" i="1"/>
  <c r="Q197" i="1"/>
  <c r="P197" i="1"/>
  <c r="O197" i="1"/>
  <c r="M197" i="1"/>
  <c r="L197" i="1"/>
  <c r="K197" i="1"/>
  <c r="J197" i="1"/>
  <c r="G197" i="1"/>
  <c r="A197" i="1"/>
  <c r="Q196" i="1"/>
  <c r="P196" i="1"/>
  <c r="O196" i="1"/>
  <c r="M196" i="1"/>
  <c r="L196" i="1"/>
  <c r="K196" i="1"/>
  <c r="J196" i="1"/>
  <c r="G196" i="1"/>
  <c r="A196" i="1"/>
  <c r="Q195" i="1"/>
  <c r="P195" i="1"/>
  <c r="O195" i="1"/>
  <c r="M195" i="1"/>
  <c r="L195" i="1"/>
  <c r="K195" i="1"/>
  <c r="J195" i="1"/>
  <c r="G195" i="1"/>
  <c r="A195" i="1"/>
  <c r="Q194" i="1"/>
  <c r="P194" i="1"/>
  <c r="O194" i="1"/>
  <c r="M194" i="1"/>
  <c r="L194" i="1"/>
  <c r="K194" i="1"/>
  <c r="J194" i="1"/>
  <c r="G194" i="1"/>
  <c r="A194" i="1"/>
  <c r="Q193" i="1"/>
  <c r="P193" i="1"/>
  <c r="O193" i="1"/>
  <c r="M193" i="1"/>
  <c r="L193" i="1"/>
  <c r="K193" i="1"/>
  <c r="J193" i="1"/>
  <c r="G193" i="1"/>
  <c r="A193" i="1"/>
  <c r="Q192" i="1"/>
  <c r="P192" i="1"/>
  <c r="O192" i="1"/>
  <c r="M192" i="1"/>
  <c r="L192" i="1"/>
  <c r="K192" i="1"/>
  <c r="J192" i="1"/>
  <c r="G192" i="1"/>
  <c r="A192" i="1"/>
  <c r="Q191" i="1"/>
  <c r="P191" i="1"/>
  <c r="O191" i="1"/>
  <c r="M191" i="1"/>
  <c r="L191" i="1"/>
  <c r="K191" i="1"/>
  <c r="J191" i="1"/>
  <c r="G191" i="1"/>
  <c r="A191" i="1"/>
  <c r="Q190" i="1"/>
  <c r="P190" i="1"/>
  <c r="O190" i="1"/>
  <c r="M190" i="1"/>
  <c r="L190" i="1"/>
  <c r="K190" i="1"/>
  <c r="J190" i="1"/>
  <c r="G190" i="1"/>
  <c r="A190" i="1"/>
  <c r="Q189" i="1"/>
  <c r="P189" i="1"/>
  <c r="O189" i="1"/>
  <c r="M189" i="1"/>
  <c r="L189" i="1"/>
  <c r="K189" i="1"/>
  <c r="J189" i="1"/>
  <c r="G189" i="1"/>
  <c r="A189" i="1"/>
  <c r="A188" i="1"/>
  <c r="A187" i="1"/>
  <c r="A186" i="1"/>
  <c r="Q185" i="1"/>
  <c r="P185" i="1"/>
  <c r="O185" i="1"/>
  <c r="M185" i="1"/>
  <c r="L185" i="1"/>
  <c r="K185" i="1"/>
  <c r="J185" i="1"/>
  <c r="G185" i="1"/>
  <c r="A185" i="1"/>
  <c r="Q184" i="1"/>
  <c r="P184" i="1"/>
  <c r="O184" i="1"/>
  <c r="M184" i="1"/>
  <c r="L184" i="1"/>
  <c r="K184" i="1"/>
  <c r="J184" i="1"/>
  <c r="G184" i="1"/>
  <c r="A184" i="1"/>
  <c r="Q183" i="1"/>
  <c r="P183" i="1"/>
  <c r="O183" i="1"/>
  <c r="M183" i="1"/>
  <c r="L183" i="1"/>
  <c r="K183" i="1"/>
  <c r="J183" i="1"/>
  <c r="G183" i="1"/>
  <c r="A183" i="1"/>
  <c r="Q182" i="1"/>
  <c r="P182" i="1"/>
  <c r="O182" i="1"/>
  <c r="M182" i="1"/>
  <c r="L182" i="1"/>
  <c r="K182" i="1"/>
  <c r="J182" i="1"/>
  <c r="G182" i="1"/>
  <c r="A182" i="1"/>
  <c r="Q181" i="1"/>
  <c r="P181" i="1"/>
  <c r="O181" i="1"/>
  <c r="M181" i="1"/>
  <c r="L181" i="1"/>
  <c r="K181" i="1"/>
  <c r="J181" i="1"/>
  <c r="G181" i="1"/>
  <c r="A181" i="1"/>
  <c r="Q180" i="1"/>
  <c r="P180" i="1"/>
  <c r="O180" i="1"/>
  <c r="M180" i="1"/>
  <c r="L180" i="1"/>
  <c r="K180" i="1"/>
  <c r="J180" i="1"/>
  <c r="G180" i="1"/>
  <c r="A180" i="1"/>
  <c r="Q179" i="1"/>
  <c r="P179" i="1"/>
  <c r="O179" i="1"/>
  <c r="N179" i="1"/>
  <c r="M179" i="1"/>
  <c r="L179" i="1"/>
  <c r="K179" i="1"/>
  <c r="J179" i="1"/>
  <c r="I179" i="1"/>
  <c r="G179" i="1"/>
  <c r="A179" i="1"/>
  <c r="Q178" i="1"/>
  <c r="P178" i="1"/>
  <c r="O178" i="1"/>
  <c r="M178" i="1"/>
  <c r="L178" i="1"/>
  <c r="K178" i="1"/>
  <c r="J178" i="1"/>
  <c r="G178" i="1"/>
  <c r="A178" i="1"/>
  <c r="Q177" i="1"/>
  <c r="P177" i="1"/>
  <c r="O177" i="1"/>
  <c r="M177" i="1"/>
  <c r="L177" i="1"/>
  <c r="K177" i="1"/>
  <c r="J177" i="1"/>
  <c r="G177" i="1"/>
  <c r="A177" i="1"/>
  <c r="Q176" i="1"/>
  <c r="P176" i="1"/>
  <c r="O176" i="1"/>
  <c r="N176" i="1"/>
  <c r="M176" i="1"/>
  <c r="L176" i="1"/>
  <c r="K176" i="1"/>
  <c r="J176" i="1"/>
  <c r="I176" i="1"/>
  <c r="G176" i="1"/>
  <c r="A176" i="1"/>
  <c r="Q175" i="1"/>
  <c r="P175" i="1"/>
  <c r="O175" i="1"/>
  <c r="N175" i="1"/>
  <c r="M175" i="1"/>
  <c r="L175" i="1"/>
  <c r="K175" i="1"/>
  <c r="J175" i="1"/>
  <c r="I175" i="1"/>
  <c r="G175" i="1"/>
  <c r="A175" i="1"/>
  <c r="Q174" i="1"/>
  <c r="P174" i="1"/>
  <c r="O174" i="1"/>
  <c r="N174" i="1"/>
  <c r="M174" i="1"/>
  <c r="L174" i="1"/>
  <c r="K174" i="1"/>
  <c r="J174" i="1"/>
  <c r="I174" i="1"/>
  <c r="G174" i="1"/>
  <c r="A174" i="1"/>
  <c r="Q173" i="1"/>
  <c r="P173" i="1"/>
  <c r="O173" i="1"/>
  <c r="M173" i="1"/>
  <c r="L173" i="1"/>
  <c r="K173" i="1"/>
  <c r="J173" i="1"/>
  <c r="G173" i="1"/>
  <c r="A173" i="1"/>
  <c r="Q172" i="1"/>
  <c r="P172" i="1"/>
  <c r="O172" i="1"/>
  <c r="M172" i="1"/>
  <c r="L172" i="1"/>
  <c r="K172" i="1"/>
  <c r="J172" i="1"/>
  <c r="G172" i="1"/>
  <c r="A172" i="1"/>
  <c r="Q171" i="1"/>
  <c r="P171" i="1"/>
  <c r="O171" i="1"/>
  <c r="M171" i="1"/>
  <c r="L171" i="1"/>
  <c r="K171" i="1"/>
  <c r="J171" i="1"/>
  <c r="G171" i="1"/>
  <c r="A171" i="1"/>
  <c r="Q170" i="1"/>
  <c r="P170" i="1"/>
  <c r="O170" i="1"/>
  <c r="M170" i="1"/>
  <c r="L170" i="1"/>
  <c r="K170" i="1"/>
  <c r="J170" i="1"/>
  <c r="G170" i="1"/>
  <c r="A170" i="1"/>
  <c r="Q169" i="1"/>
  <c r="P169" i="1"/>
  <c r="O169" i="1"/>
  <c r="M169" i="1"/>
  <c r="L169" i="1"/>
  <c r="K169" i="1"/>
  <c r="J169" i="1"/>
  <c r="G169" i="1"/>
  <c r="A169" i="1"/>
  <c r="Q168" i="1"/>
  <c r="P168" i="1"/>
  <c r="O168" i="1"/>
  <c r="M168" i="1"/>
  <c r="L168" i="1"/>
  <c r="K168" i="1"/>
  <c r="J168" i="1"/>
  <c r="G168" i="1"/>
  <c r="A168" i="1"/>
  <c r="Q167" i="1"/>
  <c r="P167" i="1"/>
  <c r="O167" i="1"/>
  <c r="M167" i="1"/>
  <c r="L167" i="1"/>
  <c r="K167" i="1"/>
  <c r="J167" i="1"/>
  <c r="G167" i="1"/>
  <c r="A167" i="1"/>
  <c r="Q166" i="1"/>
  <c r="P166" i="1"/>
  <c r="O166" i="1"/>
  <c r="M166" i="1"/>
  <c r="L166" i="1"/>
  <c r="K166" i="1"/>
  <c r="J166" i="1"/>
  <c r="G166" i="1"/>
  <c r="A166" i="1"/>
  <c r="Q165" i="1"/>
  <c r="P165" i="1"/>
  <c r="O165" i="1"/>
  <c r="M165" i="1"/>
  <c r="L165" i="1"/>
  <c r="K165" i="1"/>
  <c r="J165" i="1"/>
  <c r="G165" i="1"/>
  <c r="A165" i="1"/>
  <c r="A164" i="1"/>
  <c r="A163" i="1"/>
  <c r="Q162" i="1"/>
  <c r="P162" i="1"/>
  <c r="O162" i="1"/>
  <c r="M162" i="1"/>
  <c r="L162" i="1"/>
  <c r="K162" i="1"/>
  <c r="J162" i="1"/>
  <c r="G162" i="1"/>
  <c r="A162" i="1"/>
  <c r="Q161" i="1"/>
  <c r="P161" i="1"/>
  <c r="O161" i="1"/>
  <c r="M161" i="1"/>
  <c r="L161" i="1"/>
  <c r="K161" i="1"/>
  <c r="J161" i="1"/>
  <c r="G161" i="1"/>
  <c r="A161" i="1"/>
  <c r="Q160" i="1"/>
  <c r="P160" i="1"/>
  <c r="O160" i="1"/>
  <c r="M160" i="1"/>
  <c r="L160" i="1"/>
  <c r="K160" i="1"/>
  <c r="J160" i="1"/>
  <c r="G160" i="1"/>
  <c r="A160" i="1"/>
  <c r="Q159" i="1"/>
  <c r="P159" i="1"/>
  <c r="O159" i="1"/>
  <c r="M159" i="1"/>
  <c r="L159" i="1"/>
  <c r="K159" i="1"/>
  <c r="J159" i="1"/>
  <c r="G159" i="1"/>
  <c r="A159" i="1"/>
  <c r="Q158" i="1"/>
  <c r="P158" i="1"/>
  <c r="O158" i="1"/>
  <c r="M158" i="1"/>
  <c r="L158" i="1"/>
  <c r="K158" i="1"/>
  <c r="J158" i="1"/>
  <c r="G158" i="1"/>
  <c r="A158" i="1"/>
  <c r="Q157" i="1"/>
  <c r="P157" i="1"/>
  <c r="O157" i="1"/>
  <c r="M157" i="1"/>
  <c r="L157" i="1"/>
  <c r="K157" i="1"/>
  <c r="J157" i="1"/>
  <c r="G157" i="1"/>
  <c r="A157" i="1"/>
  <c r="A156" i="1"/>
  <c r="A155" i="1"/>
  <c r="Q154" i="1"/>
  <c r="P154" i="1"/>
  <c r="O154" i="1"/>
  <c r="N154" i="1"/>
  <c r="M154" i="1"/>
  <c r="L154" i="1"/>
  <c r="K154" i="1"/>
  <c r="J154" i="1"/>
  <c r="G154" i="1"/>
  <c r="A154" i="1"/>
  <c r="Q153" i="1"/>
  <c r="P153" i="1"/>
  <c r="O153" i="1"/>
  <c r="N153" i="1"/>
  <c r="M153" i="1"/>
  <c r="L153" i="1"/>
  <c r="K153" i="1"/>
  <c r="J153" i="1"/>
  <c r="G153" i="1"/>
  <c r="A153" i="1"/>
  <c r="Q152" i="1"/>
  <c r="P152" i="1"/>
  <c r="O152" i="1"/>
  <c r="N152" i="1"/>
  <c r="M152" i="1"/>
  <c r="L152" i="1"/>
  <c r="K152" i="1"/>
  <c r="J152" i="1"/>
  <c r="G152" i="1"/>
  <c r="A152" i="1"/>
  <c r="Q151" i="1"/>
  <c r="P151" i="1"/>
  <c r="O151" i="1"/>
  <c r="M151" i="1"/>
  <c r="L151" i="1"/>
  <c r="K151" i="1"/>
  <c r="J151" i="1"/>
  <c r="G151" i="1"/>
  <c r="A151" i="1"/>
  <c r="Q150" i="1"/>
  <c r="P150" i="1"/>
  <c r="O150" i="1"/>
  <c r="N150" i="1"/>
  <c r="M150" i="1"/>
  <c r="L150" i="1"/>
  <c r="K150" i="1"/>
  <c r="J150" i="1"/>
  <c r="G150" i="1"/>
  <c r="A150" i="1"/>
  <c r="Q149" i="1"/>
  <c r="P149" i="1"/>
  <c r="O149" i="1"/>
  <c r="N149" i="1"/>
  <c r="M149" i="1"/>
  <c r="L149" i="1"/>
  <c r="K149" i="1"/>
  <c r="J149" i="1"/>
  <c r="G149" i="1"/>
  <c r="A149" i="1"/>
  <c r="Q148" i="1"/>
  <c r="P148" i="1"/>
  <c r="O148" i="1"/>
  <c r="N148" i="1"/>
  <c r="M148" i="1"/>
  <c r="L148" i="1"/>
  <c r="K148" i="1"/>
  <c r="J148" i="1"/>
  <c r="G148" i="1"/>
  <c r="A148" i="1"/>
  <c r="Q147" i="1"/>
  <c r="P147" i="1"/>
  <c r="O147" i="1"/>
  <c r="N147" i="1"/>
  <c r="M147" i="1"/>
  <c r="L147" i="1"/>
  <c r="K147" i="1"/>
  <c r="J147" i="1"/>
  <c r="G147" i="1"/>
  <c r="A147" i="1"/>
  <c r="Q146" i="1"/>
  <c r="P146" i="1"/>
  <c r="O146" i="1"/>
  <c r="N146" i="1"/>
  <c r="M146" i="1"/>
  <c r="L146" i="1"/>
  <c r="K146" i="1"/>
  <c r="J146" i="1"/>
  <c r="G146" i="1"/>
  <c r="A146" i="1"/>
  <c r="Q145" i="1"/>
  <c r="P145" i="1"/>
  <c r="O145" i="1"/>
  <c r="N145" i="1"/>
  <c r="M145" i="1"/>
  <c r="L145" i="1"/>
  <c r="K145" i="1"/>
  <c r="J145" i="1"/>
  <c r="G145" i="1"/>
  <c r="A145" i="1"/>
  <c r="Q144" i="1"/>
  <c r="P144" i="1"/>
  <c r="O144" i="1"/>
  <c r="N144" i="1"/>
  <c r="M144" i="1"/>
  <c r="L144" i="1"/>
  <c r="K144" i="1"/>
  <c r="J144" i="1"/>
  <c r="G144" i="1"/>
  <c r="A144" i="1"/>
  <c r="Q143" i="1"/>
  <c r="P143" i="1"/>
  <c r="O143" i="1"/>
  <c r="N143" i="1"/>
  <c r="M143" i="1"/>
  <c r="L143" i="1"/>
  <c r="K143" i="1"/>
  <c r="J143" i="1"/>
  <c r="G143" i="1"/>
  <c r="A143" i="1"/>
  <c r="A142" i="1"/>
  <c r="A141" i="1"/>
  <c r="A140" i="1"/>
  <c r="Q139" i="1"/>
  <c r="P139" i="1"/>
  <c r="O139" i="1"/>
  <c r="N139" i="1"/>
  <c r="M139" i="1"/>
  <c r="L139" i="1"/>
  <c r="K139" i="1"/>
  <c r="J139" i="1"/>
  <c r="G139" i="1"/>
  <c r="A139" i="1"/>
  <c r="Q138" i="1"/>
  <c r="P138" i="1"/>
  <c r="O138" i="1"/>
  <c r="M138" i="1"/>
  <c r="L138" i="1"/>
  <c r="K138" i="1"/>
  <c r="J138" i="1"/>
  <c r="G138" i="1"/>
  <c r="A138" i="1"/>
  <c r="Q137" i="1"/>
  <c r="P137" i="1"/>
  <c r="O137" i="1"/>
  <c r="M137" i="1"/>
  <c r="L137" i="1"/>
  <c r="K137" i="1"/>
  <c r="J137" i="1"/>
  <c r="G137" i="1"/>
  <c r="A137" i="1"/>
  <c r="Q136" i="1"/>
  <c r="P136" i="1"/>
  <c r="O136" i="1"/>
  <c r="M136" i="1"/>
  <c r="L136" i="1"/>
  <c r="K136" i="1"/>
  <c r="J136" i="1"/>
  <c r="G136" i="1"/>
  <c r="A136" i="1"/>
  <c r="A135" i="1"/>
  <c r="A134" i="1"/>
  <c r="Q133" i="1"/>
  <c r="P133" i="1"/>
  <c r="O133" i="1"/>
  <c r="N133" i="1"/>
  <c r="M133" i="1"/>
  <c r="L133" i="1"/>
  <c r="K133" i="1"/>
  <c r="J133" i="1"/>
  <c r="G133" i="1"/>
  <c r="A133" i="1"/>
  <c r="Q132" i="1"/>
  <c r="P132" i="1"/>
  <c r="O132" i="1"/>
  <c r="N132" i="1"/>
  <c r="M132" i="1"/>
  <c r="L132" i="1"/>
  <c r="K132" i="1"/>
  <c r="J132" i="1"/>
  <c r="G132" i="1"/>
  <c r="A132" i="1"/>
  <c r="A131" i="1"/>
  <c r="A130" i="1"/>
  <c r="A129" i="1"/>
  <c r="A128" i="1"/>
  <c r="Q127" i="1"/>
  <c r="P127" i="1"/>
  <c r="O127" i="1"/>
  <c r="M127" i="1"/>
  <c r="L127" i="1"/>
  <c r="K127" i="1"/>
  <c r="J127" i="1"/>
  <c r="G127" i="1"/>
  <c r="A127" i="1"/>
  <c r="Q126" i="1"/>
  <c r="P126" i="1"/>
  <c r="O126" i="1"/>
  <c r="M126" i="1"/>
  <c r="L126" i="1"/>
  <c r="K126" i="1"/>
  <c r="J126" i="1"/>
  <c r="G126" i="1"/>
  <c r="A126" i="1"/>
  <c r="Q125" i="1"/>
  <c r="P125" i="1"/>
  <c r="O125" i="1"/>
  <c r="M125" i="1"/>
  <c r="L125" i="1"/>
  <c r="K125" i="1"/>
  <c r="J125" i="1"/>
  <c r="G125" i="1"/>
  <c r="A125" i="1"/>
  <c r="Q124" i="1"/>
  <c r="P124" i="1"/>
  <c r="O124" i="1"/>
  <c r="M124" i="1"/>
  <c r="L124" i="1"/>
  <c r="K124" i="1"/>
  <c r="J124" i="1"/>
  <c r="G124" i="1"/>
  <c r="A124" i="1"/>
  <c r="Q123" i="1"/>
  <c r="P123" i="1"/>
  <c r="O123" i="1"/>
  <c r="M123" i="1"/>
  <c r="L123" i="1"/>
  <c r="K123" i="1"/>
  <c r="J123" i="1"/>
  <c r="G123" i="1"/>
  <c r="A123" i="1"/>
  <c r="Q122" i="1"/>
  <c r="P122" i="1"/>
  <c r="O122" i="1"/>
  <c r="M122" i="1"/>
  <c r="L122" i="1"/>
  <c r="K122" i="1"/>
  <c r="J122" i="1"/>
  <c r="G122" i="1"/>
  <c r="A122" i="1"/>
  <c r="A121" i="1"/>
  <c r="A120" i="1"/>
  <c r="Q119" i="1"/>
  <c r="P119" i="1"/>
  <c r="O119" i="1"/>
  <c r="M119" i="1"/>
  <c r="L119" i="1"/>
  <c r="K119" i="1"/>
  <c r="J119" i="1"/>
  <c r="G119" i="1"/>
  <c r="A119" i="1"/>
  <c r="Q118" i="1"/>
  <c r="P118" i="1"/>
  <c r="O118" i="1"/>
  <c r="M118" i="1"/>
  <c r="L118" i="1"/>
  <c r="K118" i="1"/>
  <c r="J118" i="1"/>
  <c r="G118" i="1"/>
  <c r="A118" i="1"/>
  <c r="Q117" i="1"/>
  <c r="P117" i="1"/>
  <c r="O117" i="1"/>
  <c r="M117" i="1"/>
  <c r="L117" i="1"/>
  <c r="K117" i="1"/>
  <c r="J117" i="1"/>
  <c r="G117" i="1"/>
  <c r="A117" i="1"/>
  <c r="Q116" i="1"/>
  <c r="P116" i="1"/>
  <c r="O116" i="1"/>
  <c r="M116" i="1"/>
  <c r="L116" i="1"/>
  <c r="K116" i="1"/>
  <c r="J116" i="1"/>
  <c r="G116" i="1"/>
  <c r="A116" i="1"/>
  <c r="Q115" i="1"/>
  <c r="P115" i="1"/>
  <c r="O115" i="1"/>
  <c r="M115" i="1"/>
  <c r="L115" i="1"/>
  <c r="K115" i="1"/>
  <c r="J115" i="1"/>
  <c r="G115" i="1"/>
  <c r="A115" i="1"/>
  <c r="Q114" i="1"/>
  <c r="P114" i="1"/>
  <c r="O114" i="1"/>
  <c r="M114" i="1"/>
  <c r="L114" i="1"/>
  <c r="K114" i="1"/>
  <c r="J114" i="1"/>
  <c r="G114" i="1"/>
  <c r="A114" i="1"/>
  <c r="Q113" i="1"/>
  <c r="P113" i="1"/>
  <c r="O113" i="1"/>
  <c r="M113" i="1"/>
  <c r="L113" i="1"/>
  <c r="K113" i="1"/>
  <c r="J113" i="1"/>
  <c r="G113" i="1"/>
  <c r="A113" i="1"/>
  <c r="Q112" i="1"/>
  <c r="P112" i="1"/>
  <c r="O112" i="1"/>
  <c r="M112" i="1"/>
  <c r="L112" i="1"/>
  <c r="K112" i="1"/>
  <c r="J112" i="1"/>
  <c r="G112" i="1"/>
  <c r="A112" i="1"/>
  <c r="Q111" i="1"/>
  <c r="P111" i="1"/>
  <c r="O111" i="1"/>
  <c r="M111" i="1"/>
  <c r="L111" i="1"/>
  <c r="K111" i="1"/>
  <c r="J111" i="1"/>
  <c r="G111" i="1"/>
  <c r="A111" i="1"/>
  <c r="Q110" i="1"/>
  <c r="P110" i="1"/>
  <c r="O110" i="1"/>
  <c r="M110" i="1"/>
  <c r="L110" i="1"/>
  <c r="K110" i="1"/>
  <c r="J110" i="1"/>
  <c r="G110" i="1"/>
  <c r="A110" i="1"/>
  <c r="Q109" i="1"/>
  <c r="P109" i="1"/>
  <c r="O109" i="1"/>
  <c r="M109" i="1"/>
  <c r="L109" i="1"/>
  <c r="K109" i="1"/>
  <c r="J109" i="1"/>
  <c r="G109" i="1"/>
  <c r="A109" i="1"/>
  <c r="Q108" i="1"/>
  <c r="P108" i="1"/>
  <c r="O108" i="1"/>
  <c r="M108" i="1"/>
  <c r="L108" i="1"/>
  <c r="K108" i="1"/>
  <c r="J108" i="1"/>
  <c r="G108" i="1"/>
  <c r="A108" i="1"/>
  <c r="Q107" i="1"/>
  <c r="P107" i="1"/>
  <c r="O107" i="1"/>
  <c r="M107" i="1"/>
  <c r="L107" i="1"/>
  <c r="K107" i="1"/>
  <c r="J107" i="1"/>
  <c r="G107" i="1"/>
  <c r="A107" i="1"/>
  <c r="Q106" i="1"/>
  <c r="P106" i="1"/>
  <c r="O106" i="1"/>
  <c r="M106" i="1"/>
  <c r="L106" i="1"/>
  <c r="K106" i="1"/>
  <c r="J106" i="1"/>
  <c r="G106" i="1"/>
  <c r="A106" i="1"/>
  <c r="Q105" i="1"/>
  <c r="P105" i="1"/>
  <c r="O105" i="1"/>
  <c r="M105" i="1"/>
  <c r="L105" i="1"/>
  <c r="K105" i="1"/>
  <c r="J105" i="1"/>
  <c r="G105" i="1"/>
  <c r="A105" i="1"/>
  <c r="Q104" i="1"/>
  <c r="P104" i="1"/>
  <c r="O104" i="1"/>
  <c r="M104" i="1"/>
  <c r="L104" i="1"/>
  <c r="K104" i="1"/>
  <c r="J104" i="1"/>
  <c r="G104" i="1"/>
  <c r="A104" i="1"/>
  <c r="Q103" i="1"/>
  <c r="P103" i="1"/>
  <c r="O103" i="1"/>
  <c r="M103" i="1"/>
  <c r="L103" i="1"/>
  <c r="K103" i="1"/>
  <c r="J103" i="1"/>
  <c r="G103" i="1"/>
  <c r="A103" i="1"/>
  <c r="Q102" i="1"/>
  <c r="P102" i="1"/>
  <c r="O102" i="1"/>
  <c r="M102" i="1"/>
  <c r="L102" i="1"/>
  <c r="K102" i="1"/>
  <c r="J102" i="1"/>
  <c r="G102" i="1"/>
  <c r="A102" i="1"/>
  <c r="Q101" i="1"/>
  <c r="P101" i="1"/>
  <c r="O101" i="1"/>
  <c r="M101" i="1"/>
  <c r="L101" i="1"/>
  <c r="K101" i="1"/>
  <c r="J101" i="1"/>
  <c r="G101" i="1"/>
  <c r="A101" i="1"/>
  <c r="Q100" i="1"/>
  <c r="P100" i="1"/>
  <c r="O100" i="1"/>
  <c r="M100" i="1"/>
  <c r="L100" i="1"/>
  <c r="K100" i="1"/>
  <c r="J100" i="1"/>
  <c r="G100" i="1"/>
  <c r="A100" i="1"/>
  <c r="Q99" i="1"/>
  <c r="P99" i="1"/>
  <c r="O99" i="1"/>
  <c r="M99" i="1"/>
  <c r="L99" i="1"/>
  <c r="K99" i="1"/>
  <c r="J99" i="1"/>
  <c r="G99" i="1"/>
  <c r="A99" i="1"/>
  <c r="Q98" i="1"/>
  <c r="P98" i="1"/>
  <c r="O98" i="1"/>
  <c r="M98" i="1"/>
  <c r="L98" i="1"/>
  <c r="K98" i="1"/>
  <c r="J98" i="1"/>
  <c r="G98" i="1"/>
  <c r="A98" i="1"/>
  <c r="Q97" i="1"/>
  <c r="P97" i="1"/>
  <c r="O97" i="1"/>
  <c r="M97" i="1"/>
  <c r="L97" i="1"/>
  <c r="K97" i="1"/>
  <c r="J97" i="1"/>
  <c r="G97" i="1"/>
  <c r="A97" i="1"/>
  <c r="A96" i="1"/>
  <c r="A95" i="1"/>
  <c r="Q94" i="1"/>
  <c r="P94" i="1"/>
  <c r="O94" i="1"/>
  <c r="M94" i="1"/>
  <c r="L94" i="1"/>
  <c r="K94" i="1"/>
  <c r="J94" i="1"/>
  <c r="G94" i="1"/>
  <c r="A94" i="1"/>
  <c r="Q93" i="1"/>
  <c r="P93" i="1"/>
  <c r="O93" i="1"/>
  <c r="M93" i="1"/>
  <c r="L93" i="1"/>
  <c r="K93" i="1"/>
  <c r="J93" i="1"/>
  <c r="G93" i="1"/>
  <c r="A93" i="1"/>
  <c r="Q92" i="1"/>
  <c r="P92" i="1"/>
  <c r="O92" i="1"/>
  <c r="M92" i="1"/>
  <c r="L92" i="1"/>
  <c r="K92" i="1"/>
  <c r="J92" i="1"/>
  <c r="G92" i="1"/>
  <c r="A92" i="1"/>
  <c r="Q91" i="1"/>
  <c r="P91" i="1"/>
  <c r="O91" i="1"/>
  <c r="M91" i="1"/>
  <c r="L91" i="1"/>
  <c r="K91" i="1"/>
  <c r="J91" i="1"/>
  <c r="G91" i="1"/>
  <c r="A91" i="1"/>
  <c r="Q90" i="1"/>
  <c r="P90" i="1"/>
  <c r="O90" i="1"/>
  <c r="N90" i="1"/>
  <c r="M90" i="1"/>
  <c r="L90" i="1"/>
  <c r="K90" i="1"/>
  <c r="J90" i="1"/>
  <c r="I90" i="1"/>
  <c r="G90" i="1"/>
  <c r="A90" i="1"/>
  <c r="Q89" i="1"/>
  <c r="P89" i="1"/>
  <c r="O89" i="1"/>
  <c r="M89" i="1"/>
  <c r="L89" i="1"/>
  <c r="K89" i="1"/>
  <c r="J89" i="1"/>
  <c r="G89" i="1"/>
  <c r="A89" i="1"/>
  <c r="Q88" i="1"/>
  <c r="P88" i="1"/>
  <c r="O88" i="1"/>
  <c r="M88" i="1"/>
  <c r="L88" i="1"/>
  <c r="K88" i="1"/>
  <c r="J88" i="1"/>
  <c r="G88" i="1"/>
  <c r="A88" i="1"/>
  <c r="Q87" i="1"/>
  <c r="P87" i="1"/>
  <c r="O87" i="1"/>
  <c r="N87" i="1"/>
  <c r="M87" i="1"/>
  <c r="L87" i="1"/>
  <c r="K87" i="1"/>
  <c r="J87" i="1"/>
  <c r="G87" i="1"/>
  <c r="A87" i="1"/>
  <c r="Q86" i="1"/>
  <c r="P86" i="1"/>
  <c r="O86" i="1"/>
  <c r="N86" i="1"/>
  <c r="M86" i="1"/>
  <c r="L86" i="1"/>
  <c r="K86" i="1"/>
  <c r="J86" i="1"/>
  <c r="G86" i="1"/>
  <c r="A86" i="1"/>
  <c r="Q85" i="1"/>
  <c r="P85" i="1"/>
  <c r="O85" i="1"/>
  <c r="M85" i="1"/>
  <c r="L85" i="1"/>
  <c r="K85" i="1"/>
  <c r="J85" i="1"/>
  <c r="G85" i="1"/>
  <c r="A85" i="1"/>
  <c r="Q84" i="1"/>
  <c r="P84" i="1"/>
  <c r="O84" i="1"/>
  <c r="M84" i="1"/>
  <c r="L84" i="1"/>
  <c r="K84" i="1"/>
  <c r="J84" i="1"/>
  <c r="G84" i="1"/>
  <c r="A84" i="1"/>
  <c r="A83" i="1"/>
  <c r="A82" i="1"/>
  <c r="Q81" i="1"/>
  <c r="P81" i="1"/>
  <c r="O81" i="1"/>
  <c r="M81" i="1"/>
  <c r="L81" i="1"/>
  <c r="K81" i="1"/>
  <c r="J81" i="1"/>
  <c r="G81" i="1"/>
  <c r="A81" i="1"/>
  <c r="Q80" i="1"/>
  <c r="P80" i="1"/>
  <c r="O80" i="1"/>
  <c r="M80" i="1"/>
  <c r="L80" i="1"/>
  <c r="K80" i="1"/>
  <c r="J80" i="1"/>
  <c r="G80" i="1"/>
  <c r="A80" i="1"/>
  <c r="Q79" i="1"/>
  <c r="P79" i="1"/>
  <c r="O79" i="1"/>
  <c r="M79" i="1"/>
  <c r="L79" i="1"/>
  <c r="K79" i="1"/>
  <c r="J79" i="1"/>
  <c r="G79" i="1"/>
  <c r="A79" i="1"/>
  <c r="Q78" i="1"/>
  <c r="P78" i="1"/>
  <c r="O78" i="1"/>
  <c r="M78" i="1"/>
  <c r="L78" i="1"/>
  <c r="K78" i="1"/>
  <c r="J78" i="1"/>
  <c r="G78" i="1"/>
  <c r="A78" i="1"/>
  <c r="Q77" i="1"/>
  <c r="P77" i="1"/>
  <c r="O77" i="1"/>
  <c r="M77" i="1"/>
  <c r="L77" i="1"/>
  <c r="K77" i="1"/>
  <c r="J77" i="1"/>
  <c r="G77" i="1"/>
  <c r="A77" i="1"/>
  <c r="Q76" i="1"/>
  <c r="P76" i="1"/>
  <c r="O76" i="1"/>
  <c r="M76" i="1"/>
  <c r="L76" i="1"/>
  <c r="K76" i="1"/>
  <c r="J76" i="1"/>
  <c r="G76" i="1"/>
  <c r="A76" i="1"/>
  <c r="Q75" i="1"/>
  <c r="P75" i="1"/>
  <c r="O75" i="1"/>
  <c r="M75" i="1"/>
  <c r="L75" i="1"/>
  <c r="K75" i="1"/>
  <c r="J75" i="1"/>
  <c r="G75" i="1"/>
  <c r="A75" i="1"/>
  <c r="Q74" i="1"/>
  <c r="P74" i="1"/>
  <c r="O74" i="1"/>
  <c r="M74" i="1"/>
  <c r="L74" i="1"/>
  <c r="K74" i="1"/>
  <c r="J74" i="1"/>
  <c r="G74" i="1"/>
  <c r="A74" i="1"/>
  <c r="Q73" i="1"/>
  <c r="P73" i="1"/>
  <c r="O73" i="1"/>
  <c r="M73" i="1"/>
  <c r="L73" i="1"/>
  <c r="K73" i="1"/>
  <c r="J73" i="1"/>
  <c r="G73" i="1"/>
  <c r="A73" i="1"/>
  <c r="Q72" i="1"/>
  <c r="P72" i="1"/>
  <c r="O72" i="1"/>
  <c r="M72" i="1"/>
  <c r="L72" i="1"/>
  <c r="K72" i="1"/>
  <c r="J72" i="1"/>
  <c r="G72" i="1"/>
  <c r="A72" i="1"/>
  <c r="Q71" i="1"/>
  <c r="P71" i="1"/>
  <c r="O71" i="1"/>
  <c r="M71" i="1"/>
  <c r="L71" i="1"/>
  <c r="K71" i="1"/>
  <c r="J71" i="1"/>
  <c r="G71" i="1"/>
  <c r="A71" i="1"/>
  <c r="Q70" i="1"/>
  <c r="P70" i="1"/>
  <c r="O70" i="1"/>
  <c r="M70" i="1"/>
  <c r="L70" i="1"/>
  <c r="K70" i="1"/>
  <c r="J70" i="1"/>
  <c r="G70" i="1"/>
  <c r="A70" i="1"/>
  <c r="Q69" i="1"/>
  <c r="P69" i="1"/>
  <c r="O69" i="1"/>
  <c r="M69" i="1"/>
  <c r="L69" i="1"/>
  <c r="K69" i="1"/>
  <c r="J69" i="1"/>
  <c r="G69" i="1"/>
  <c r="A69" i="1"/>
  <c r="A68" i="1"/>
  <c r="A67" i="1"/>
  <c r="Q66" i="1"/>
  <c r="P66" i="1"/>
  <c r="O66" i="1"/>
  <c r="M66" i="1"/>
  <c r="L66" i="1"/>
  <c r="K66" i="1"/>
  <c r="J66" i="1"/>
  <c r="G66" i="1"/>
  <c r="A66" i="1"/>
  <c r="Q65" i="1"/>
  <c r="P65" i="1"/>
  <c r="O65" i="1"/>
  <c r="M65" i="1"/>
  <c r="L65" i="1"/>
  <c r="K65" i="1"/>
  <c r="J65" i="1"/>
  <c r="G65" i="1"/>
  <c r="A65" i="1"/>
  <c r="Q64" i="1"/>
  <c r="P64" i="1"/>
  <c r="O64" i="1"/>
  <c r="M64" i="1"/>
  <c r="L64" i="1"/>
  <c r="K64" i="1"/>
  <c r="J64" i="1"/>
  <c r="G64" i="1"/>
  <c r="A64" i="1"/>
  <c r="Q63" i="1"/>
  <c r="P63" i="1"/>
  <c r="O63" i="1"/>
  <c r="M63" i="1"/>
  <c r="L63" i="1"/>
  <c r="K63" i="1"/>
  <c r="J63" i="1"/>
  <c r="G63" i="1"/>
  <c r="A63" i="1"/>
  <c r="Q62" i="1"/>
  <c r="P62" i="1"/>
  <c r="O62" i="1"/>
  <c r="M62" i="1"/>
  <c r="L62" i="1"/>
  <c r="K62" i="1"/>
  <c r="J62" i="1"/>
  <c r="G62" i="1"/>
  <c r="A62" i="1"/>
  <c r="Q61" i="1"/>
  <c r="P61" i="1"/>
  <c r="O61" i="1"/>
  <c r="M61" i="1"/>
  <c r="L61" i="1"/>
  <c r="K61" i="1"/>
  <c r="J61" i="1"/>
  <c r="G61" i="1"/>
  <c r="A61" i="1"/>
  <c r="Q60" i="1"/>
  <c r="P60" i="1"/>
  <c r="O60" i="1"/>
  <c r="M60" i="1"/>
  <c r="L60" i="1"/>
  <c r="K60" i="1"/>
  <c r="J60" i="1"/>
  <c r="G60" i="1"/>
  <c r="A60" i="1"/>
  <c r="Q59" i="1"/>
  <c r="P59" i="1"/>
  <c r="O59" i="1"/>
  <c r="M59" i="1"/>
  <c r="L59" i="1"/>
  <c r="K59" i="1"/>
  <c r="J59" i="1"/>
  <c r="G59" i="1"/>
  <c r="A59" i="1"/>
  <c r="Q58" i="1"/>
  <c r="P58" i="1"/>
  <c r="O58" i="1"/>
  <c r="N58" i="1"/>
  <c r="M58" i="1"/>
  <c r="L58" i="1"/>
  <c r="K58" i="1"/>
  <c r="J58" i="1"/>
  <c r="G58" i="1"/>
  <c r="A58" i="1"/>
  <c r="Q57" i="1"/>
  <c r="P57" i="1"/>
  <c r="O57" i="1"/>
  <c r="N57" i="1"/>
  <c r="M57" i="1"/>
  <c r="L57" i="1"/>
  <c r="K57" i="1"/>
  <c r="J57" i="1"/>
  <c r="G57" i="1"/>
  <c r="A57" i="1"/>
  <c r="Q56" i="1"/>
  <c r="P56" i="1"/>
  <c r="O56" i="1"/>
  <c r="N56" i="1"/>
  <c r="M56" i="1"/>
  <c r="L56" i="1"/>
  <c r="K56" i="1"/>
  <c r="J56" i="1"/>
  <c r="G56" i="1"/>
  <c r="A56" i="1"/>
  <c r="Q55" i="1"/>
  <c r="P55" i="1"/>
  <c r="O55" i="1"/>
  <c r="N55" i="1"/>
  <c r="M55" i="1"/>
  <c r="L55" i="1"/>
  <c r="K55" i="1"/>
  <c r="J55" i="1"/>
  <c r="G55" i="1"/>
  <c r="A55" i="1"/>
  <c r="Q54" i="1"/>
  <c r="P54" i="1"/>
  <c r="O54" i="1"/>
  <c r="M54" i="1"/>
  <c r="L54" i="1"/>
  <c r="K54" i="1"/>
  <c r="J54" i="1"/>
  <c r="G54" i="1"/>
  <c r="A54" i="1"/>
  <c r="Q53" i="1"/>
  <c r="P53" i="1"/>
  <c r="O53" i="1"/>
  <c r="N53" i="1"/>
  <c r="M53" i="1"/>
  <c r="L53" i="1"/>
  <c r="K53" i="1"/>
  <c r="J53" i="1"/>
  <c r="G53" i="1"/>
  <c r="A53" i="1"/>
  <c r="Q52" i="1"/>
  <c r="P52" i="1"/>
  <c r="O52" i="1"/>
  <c r="M52" i="1"/>
  <c r="L52" i="1"/>
  <c r="K52" i="1"/>
  <c r="J52" i="1"/>
  <c r="G52" i="1"/>
  <c r="A52" i="1"/>
  <c r="Q51" i="1"/>
  <c r="P51" i="1"/>
  <c r="O51" i="1"/>
  <c r="N51" i="1"/>
  <c r="M51" i="1"/>
  <c r="L51" i="1"/>
  <c r="K51" i="1"/>
  <c r="J51" i="1"/>
  <c r="G51" i="1"/>
  <c r="A51" i="1"/>
  <c r="Q50" i="1"/>
  <c r="P50" i="1"/>
  <c r="O50" i="1"/>
  <c r="M50" i="1"/>
  <c r="L50" i="1"/>
  <c r="K50" i="1"/>
  <c r="J50" i="1"/>
  <c r="G50" i="1"/>
  <c r="A50" i="1"/>
  <c r="Q49" i="1"/>
  <c r="P49" i="1"/>
  <c r="O49" i="1"/>
  <c r="M49" i="1"/>
  <c r="L49" i="1"/>
  <c r="K49" i="1"/>
  <c r="J49" i="1"/>
  <c r="G49" i="1"/>
  <c r="A49" i="1"/>
  <c r="Q48" i="1"/>
  <c r="P48" i="1"/>
  <c r="O48" i="1"/>
  <c r="M48" i="1"/>
  <c r="L48" i="1"/>
  <c r="K48" i="1"/>
  <c r="J48" i="1"/>
  <c r="G48" i="1"/>
  <c r="A48" i="1"/>
  <c r="A47" i="1"/>
  <c r="A46" i="1"/>
  <c r="Q45" i="1"/>
  <c r="P45" i="1"/>
  <c r="O45" i="1"/>
  <c r="M45" i="1"/>
  <c r="L45" i="1"/>
  <c r="K45" i="1"/>
  <c r="J45" i="1"/>
  <c r="G45" i="1"/>
  <c r="A45" i="1"/>
  <c r="Q44" i="1"/>
  <c r="P44" i="1"/>
  <c r="O44" i="1"/>
  <c r="M44" i="1"/>
  <c r="L44" i="1"/>
  <c r="K44" i="1"/>
  <c r="J44" i="1"/>
  <c r="G44" i="1"/>
  <c r="A44" i="1"/>
  <c r="A43" i="1"/>
  <c r="A42" i="1"/>
  <c r="Q41" i="1"/>
  <c r="P41" i="1"/>
  <c r="O41" i="1"/>
  <c r="M41" i="1"/>
  <c r="L41" i="1"/>
  <c r="K41" i="1"/>
  <c r="J41" i="1"/>
  <c r="G41" i="1"/>
  <c r="A41" i="1"/>
  <c r="Q40" i="1"/>
  <c r="P40" i="1"/>
  <c r="O40" i="1"/>
  <c r="M40" i="1"/>
  <c r="L40" i="1"/>
  <c r="K40" i="1"/>
  <c r="J40" i="1"/>
  <c r="G40" i="1"/>
  <c r="A40" i="1"/>
  <c r="Q39" i="1"/>
  <c r="P39" i="1"/>
  <c r="O39" i="1"/>
  <c r="M39" i="1"/>
  <c r="L39" i="1"/>
  <c r="K39" i="1"/>
  <c r="J39" i="1"/>
  <c r="G39" i="1"/>
  <c r="A39" i="1"/>
  <c r="Q38" i="1"/>
  <c r="P38" i="1"/>
  <c r="O38" i="1"/>
  <c r="M38" i="1"/>
  <c r="L38" i="1"/>
  <c r="K38" i="1"/>
  <c r="J38" i="1"/>
  <c r="G38" i="1"/>
  <c r="A38" i="1"/>
  <c r="Q37" i="1"/>
  <c r="P37" i="1"/>
  <c r="O37" i="1"/>
  <c r="M37" i="1"/>
  <c r="L37" i="1"/>
  <c r="K37" i="1"/>
  <c r="J37" i="1"/>
  <c r="G37" i="1"/>
  <c r="A37" i="1"/>
  <c r="A36" i="1"/>
  <c r="A35" i="1"/>
  <c r="Q34" i="1"/>
  <c r="P34" i="1"/>
  <c r="O34" i="1"/>
  <c r="M34" i="1"/>
  <c r="L34" i="1"/>
  <c r="K34" i="1"/>
  <c r="J34" i="1"/>
  <c r="G34" i="1"/>
  <c r="A34" i="1"/>
  <c r="Q33" i="1"/>
  <c r="P33" i="1"/>
  <c r="O33" i="1"/>
  <c r="M33" i="1"/>
  <c r="L33" i="1"/>
  <c r="K33" i="1"/>
  <c r="J33" i="1"/>
  <c r="G33" i="1"/>
  <c r="A33" i="1"/>
  <c r="Q32" i="1"/>
  <c r="P32" i="1"/>
  <c r="O32" i="1"/>
  <c r="M32" i="1"/>
  <c r="L32" i="1"/>
  <c r="K32" i="1"/>
  <c r="J32" i="1"/>
  <c r="G32" i="1"/>
  <c r="A32" i="1"/>
  <c r="Q31" i="1"/>
  <c r="P31" i="1"/>
  <c r="O31" i="1"/>
  <c r="M31" i="1"/>
  <c r="L31" i="1"/>
  <c r="K31" i="1"/>
  <c r="J31" i="1"/>
  <c r="G31" i="1"/>
  <c r="A31" i="1"/>
  <c r="Q30" i="1"/>
  <c r="P30" i="1"/>
  <c r="O30" i="1"/>
  <c r="M30" i="1"/>
  <c r="L30" i="1"/>
  <c r="K30" i="1"/>
  <c r="J30" i="1"/>
  <c r="G30" i="1"/>
  <c r="A30" i="1"/>
  <c r="Q29" i="1"/>
  <c r="P29" i="1"/>
  <c r="O29" i="1"/>
  <c r="M29" i="1"/>
  <c r="L29" i="1"/>
  <c r="K29" i="1"/>
  <c r="J29" i="1"/>
  <c r="G29" i="1"/>
  <c r="A29" i="1"/>
  <c r="A28" i="1"/>
  <c r="A27" i="1"/>
  <c r="Q26" i="1"/>
  <c r="P26" i="1"/>
  <c r="O26" i="1"/>
  <c r="M26" i="1"/>
  <c r="L26" i="1"/>
  <c r="K26" i="1"/>
  <c r="J26" i="1"/>
  <c r="G26" i="1"/>
  <c r="A26" i="1"/>
  <c r="Q25" i="1"/>
  <c r="P25" i="1"/>
  <c r="O25" i="1"/>
  <c r="N25" i="1"/>
  <c r="M25" i="1"/>
  <c r="L25" i="1"/>
  <c r="K25" i="1"/>
  <c r="J25" i="1"/>
  <c r="G25" i="1"/>
  <c r="A25" i="1"/>
  <c r="Q24" i="1"/>
  <c r="P24" i="1"/>
  <c r="O24" i="1"/>
  <c r="N24" i="1"/>
  <c r="M24" i="1"/>
  <c r="L24" i="1"/>
  <c r="K24" i="1"/>
  <c r="J24" i="1"/>
  <c r="G24" i="1"/>
  <c r="A24" i="1"/>
  <c r="Q23" i="1"/>
  <c r="P23" i="1"/>
  <c r="O23" i="1"/>
  <c r="N23" i="1"/>
  <c r="M23" i="1"/>
  <c r="L23" i="1"/>
  <c r="K23" i="1"/>
  <c r="J23" i="1"/>
  <c r="G23" i="1"/>
  <c r="A23" i="1"/>
  <c r="Q22" i="1"/>
  <c r="P22" i="1"/>
  <c r="O22" i="1"/>
  <c r="M22" i="1"/>
  <c r="L22" i="1"/>
  <c r="K22" i="1"/>
  <c r="J22" i="1"/>
  <c r="G22" i="1"/>
  <c r="A22" i="1"/>
  <c r="Q21" i="1"/>
  <c r="P21" i="1"/>
  <c r="O21" i="1"/>
  <c r="N21" i="1"/>
  <c r="M21" i="1"/>
  <c r="L21" i="1"/>
  <c r="K21" i="1"/>
  <c r="J21" i="1"/>
  <c r="G21" i="1"/>
  <c r="A21" i="1"/>
  <c r="A20" i="1"/>
  <c r="A19" i="1"/>
  <c r="A18" i="1"/>
  <c r="A17" i="1"/>
  <c r="A16" i="1"/>
  <c r="Q15" i="1"/>
  <c r="A15" i="1"/>
  <c r="P14" i="1"/>
  <c r="O14" i="1"/>
  <c r="M14" i="1"/>
  <c r="L14" i="1"/>
  <c r="J14" i="1"/>
  <c r="G14" i="1"/>
  <c r="A14" i="1"/>
  <c r="P13" i="1"/>
  <c r="O13" i="1"/>
  <c r="M13" i="1"/>
  <c r="L13" i="1"/>
  <c r="J13" i="1"/>
  <c r="G13" i="1"/>
  <c r="A13" i="1"/>
  <c r="P12" i="1"/>
  <c r="O12" i="1"/>
  <c r="M12" i="1"/>
  <c r="L12" i="1"/>
  <c r="J12" i="1"/>
  <c r="G12" i="1"/>
  <c r="A12" i="1"/>
  <c r="P11" i="1"/>
  <c r="O11" i="1"/>
  <c r="M11" i="1"/>
  <c r="L11" i="1"/>
  <c r="J11" i="1"/>
  <c r="G11" i="1"/>
  <c r="A11" i="1"/>
  <c r="P10" i="1"/>
  <c r="O10" i="1"/>
  <c r="M10" i="1"/>
  <c r="L10" i="1"/>
  <c r="J10" i="1"/>
  <c r="G10" i="1"/>
  <c r="A10" i="1"/>
  <c r="P9" i="1"/>
  <c r="O9" i="1"/>
  <c r="M9" i="1"/>
  <c r="L9" i="1"/>
  <c r="J9" i="1"/>
  <c r="G9" i="1"/>
  <c r="A9" i="1"/>
  <c r="P8" i="1"/>
  <c r="O8" i="1"/>
  <c r="M8" i="1"/>
  <c r="L8" i="1"/>
  <c r="J8" i="1"/>
  <c r="G8" i="1"/>
  <c r="A8" i="1"/>
  <c r="C31" i="4"/>
  <c r="C30" i="4"/>
  <c r="C29" i="4"/>
  <c r="C28" i="4"/>
  <c r="C27" i="4"/>
  <c r="C26" i="4"/>
  <c r="C25" i="4"/>
  <c r="C24" i="4"/>
  <c r="C22" i="4"/>
  <c r="C21" i="4"/>
  <c r="C20" i="4"/>
  <c r="C16" i="4"/>
  <c r="C15" i="4"/>
  <c r="C14" i="4"/>
  <c r="C13" i="4"/>
  <c r="C12" i="4"/>
  <c r="C11" i="4"/>
  <c r="C10" i="4"/>
  <c r="C9" i="4"/>
  <c r="C7" i="4"/>
  <c r="C6" i="4"/>
  <c r="C5" i="4"/>
  <c r="C4" i="4"/>
  <c r="C3" i="4"/>
</calcChain>
</file>

<file path=xl/sharedStrings.xml><?xml version="1.0" encoding="utf-8"?>
<sst xmlns="http://schemas.openxmlformats.org/spreadsheetml/2006/main" count="971" uniqueCount="460">
  <si>
    <t>GENERAL SUMMARY (BASE BID)</t>
  </si>
  <si>
    <t>DIVISION NO.</t>
  </si>
  <si>
    <t>DESCRIPTION</t>
  </si>
  <si>
    <t>TOTAL DIV. COST</t>
  </si>
  <si>
    <t>General Requirments</t>
  </si>
  <si>
    <t>Electrical</t>
  </si>
  <si>
    <t>Telecommunication</t>
  </si>
  <si>
    <t>Electronic &amp; Safety Security</t>
  </si>
  <si>
    <t>TOTAL COST</t>
  </si>
  <si>
    <t>CONTIGENCIES (5%)</t>
  </si>
  <si>
    <t>MATERIAL MARKUPS (20%)</t>
  </si>
  <si>
    <t>LABOR MARKUPS (31%)</t>
  </si>
  <si>
    <t>OVERHEAD (10%)</t>
  </si>
  <si>
    <t>PROFIT (10%)</t>
  </si>
  <si>
    <t>TAX (9.2%)</t>
  </si>
  <si>
    <t>PERFORMANCE AND PAYMENT BONDS</t>
  </si>
  <si>
    <t>TOTAL BASEBID</t>
  </si>
  <si>
    <t>GENERAL SUMMARY (ADD ALTERNATE)</t>
  </si>
  <si>
    <t>Pedestrain Gate Card Reader</t>
  </si>
  <si>
    <t>DETAILED BREAKDOWN OF ITEMS</t>
  </si>
  <si>
    <t>Project Name</t>
  </si>
  <si>
    <t>Project Address</t>
  </si>
  <si>
    <t>Scope: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</si>
  <si>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</si>
  <si>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</si>
  <si>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</si>
  <si>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</si>
  <si>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</si>
  <si>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</si>
  <si>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</si>
  <si>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</si>
  <si>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</si>
  <si>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</si>
  <si>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</si>
  <si>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</si>
  <si>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</si>
  <si>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</si>
  <si>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</si>
  <si>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</si>
  <si>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</si>
  <si>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</si>
  <si>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</si>
  <si>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</si>
  <si>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</si>
  <si>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</si>
  <si>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</si>
  <si>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</si>
  <si>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</si>
  <si>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</si>
  <si>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26- ELECTRICAL</t>
  </si>
  <si>
    <t>DISTRIBUTION</t>
  </si>
  <si>
    <t>FEEDERS</t>
  </si>
  <si>
    <t>CONDUITS</t>
  </si>
  <si>
    <t>4"C EMT</t>
  </si>
  <si>
    <t>LF</t>
  </si>
  <si>
    <t>4"C PVC</t>
  </si>
  <si>
    <t>3"C EMT</t>
  </si>
  <si>
    <t>2"C EMT</t>
  </si>
  <si>
    <t>1 1/2"C EMT</t>
  </si>
  <si>
    <t>PULLSTRING</t>
  </si>
  <si>
    <t>CONDUTORS</t>
  </si>
  <si>
    <t>#600 THHN</t>
  </si>
  <si>
    <t>#350 THHN</t>
  </si>
  <si>
    <t>#4/0 THHN</t>
  </si>
  <si>
    <t>#3/0 THHN</t>
  </si>
  <si>
    <t>#2 THHN</t>
  </si>
  <si>
    <t>#8 THHN</t>
  </si>
  <si>
    <t>GROUNDING</t>
  </si>
  <si>
    <t>#3/0 CU GROUND WIRE</t>
  </si>
  <si>
    <t>#6 CU GROUND WIRE</t>
  </si>
  <si>
    <t>5/8"X10' GROUND ROD</t>
  </si>
  <si>
    <t>EA</t>
  </si>
  <si>
    <t>EXOTHERMIC WELD</t>
  </si>
  <si>
    <t>GROUND BUS BAR</t>
  </si>
  <si>
    <t>DISCONNECT SWITCHES</t>
  </si>
  <si>
    <t>60A/3P DISCONNECT SWITCH NEMA 1</t>
  </si>
  <si>
    <t>100A/3P DISCONNECT SWITCH NEMA 3R</t>
  </si>
  <si>
    <t>CIRCUIT BREAKERS</t>
  </si>
  <si>
    <t>20A/1P CIRCUIT BREAKER</t>
  </si>
  <si>
    <t>20A/2P CIRCUIT BREAKER</t>
  </si>
  <si>
    <t>30A/2P CIRCUIT BREAKER</t>
  </si>
  <si>
    <t>30A/3P CIRCUIT BREAKER</t>
  </si>
  <si>
    <t>40A/2P CIRCUIT BREAKER</t>
  </si>
  <si>
    <t>40A/3P CIRCUIT BREAKER</t>
  </si>
  <si>
    <t>50A/2P CIRCUIT BREAKER</t>
  </si>
  <si>
    <t>50A/3P CIRCUIT BREAKER</t>
  </si>
  <si>
    <t>60A/3P CIRCUIT BREAKER</t>
  </si>
  <si>
    <t>80A/3P CIRCUIT BREAKER</t>
  </si>
  <si>
    <t>90A/3P CIRCUIT BREAKER</t>
  </si>
  <si>
    <t>100A MAIN CIRCUIT BREAKER</t>
  </si>
  <si>
    <t>100A/3P CIRCUIT BREAKER</t>
  </si>
  <si>
    <t>400A MAIN CIRCUIT BREAKER</t>
  </si>
  <si>
    <t>400A/3P CIRCUIT BREAKER</t>
  </si>
  <si>
    <t>1200A MAIN CIRCUIT BREAKER</t>
  </si>
  <si>
    <t>1200A/3P CIRCUIT BREAKER</t>
  </si>
  <si>
    <t>1600A MAIN CIRCUIT BREAKER</t>
  </si>
  <si>
    <t>2500A MAIN CIRCUIT BREAKER</t>
  </si>
  <si>
    <t>PANELS</t>
  </si>
  <si>
    <t>PANEL GSS,
1600A MCB, 208V, 3PH, 4W, 10KAIC, SURFACE MOUNTED, NEMA 1</t>
  </si>
  <si>
    <t>PANEL MSS,
2500A MCB, 208V, 3PH, 4W, 65KAIC, SURFACE MOUNTED, NEMA 1</t>
  </si>
  <si>
    <t>PANEL SL1,
1200A MCB, 208V, 3PH, 4W, 65KAIC, SURFACE MOUNTED, NEMA 1</t>
  </si>
  <si>
    <t>PANEL SL2,_x000D_
400A MCB, 208V, 3PH, 4W, 65KAIC, SURFACE MOUNTED, NEMA 1</t>
  </si>
  <si>
    <t>PANEL SL3,_x000D_
400A MCB, 208V, 3PH, 4W, 65KAIC, SURFACE MOUNTED, NEMA 1</t>
  </si>
  <si>
    <t>PANEL SL4,_x000D_
400A MCB, 208V, 3PH, 4W, 65KAIC, SURFACE MOUNTED, NEMA 1</t>
  </si>
  <si>
    <t>PANEL UPSA,
100A MCB, 208V, 3PH, 4W, 10KAIC, SURFACE MOUNTED, NEMA 1</t>
  </si>
  <si>
    <t>PANEL UPSB,_x000D_
100A MCB, 208V, 3PH, 4W, 10KAIC, SURFACE MOUNTED, NEMA 1</t>
  </si>
  <si>
    <t>PANEL XL1,_x000D_
1200A MCB, 208V, 3PH, 4W, 65KAIC, SURFACE MOUNTED, NEMA 1</t>
  </si>
  <si>
    <t>PANEL XL2,_x000D_
400A MCB, 208V, 3PH, 4W, 65KAIC, SURFACE MOUNTED, NEMA 1</t>
  </si>
  <si>
    <t>PANEL XL3,_x000D_
400A MCB, 208V, 3PH, 4W, 65KAIC, SURFACE MOUNTED, NEMA 1</t>
  </si>
  <si>
    <t>PANEL XL4,_x000D_
100A MCB, 208V, 3PH, 4W, 10KAIC, SURFACE MOUNTED, NEMA 1</t>
  </si>
  <si>
    <t>PANEL XL5,_x000D_
100A MCB, 208V, 3PH, 4W, 10KAIC, SURFACE MOUNTED, NEMA 1</t>
  </si>
  <si>
    <t>EQUIPMENTS</t>
  </si>
  <si>
    <t>ATS-S,
AUTO TRANSFER SWITCH,
1200A-4P, NEMA 1</t>
  </si>
  <si>
    <t>ATS-X,_x000D_
AUTO TRANSFER SWITCH,_x000D_
1200A-4P, NEMA 1</t>
  </si>
  <si>
    <t>DUAL EV CHARGING STATION (DEV) (2) EATON GMEV48CMC1-WC SERIES HARGING STATION MOUNTED TO EATON GMEV-DPED SERIES DUAL PORT PEDESTAL</t>
  </si>
  <si>
    <t>EATON 93PM SERIES UPS OR EQUAL WITH MAINTENANCE BYPASS CABINET (MBCh REMOTE MONITORING, AND 15-MINUTE BATTERY RUNTIME</t>
  </si>
  <si>
    <t>EATON CHARGING NETWORK MANAGEMENT (CNM) SOFTWARE PLATFORM</t>
  </si>
  <si>
    <t>ENERGY METERING CONTROL PANEL</t>
  </si>
  <si>
    <t>GENERATOR,
400KW/500KVA PAD MOUNTED, NEMA 3R WITH 
(1) 1600A/3P CIRCUIT BREAKER</t>
  </si>
  <si>
    <t>MTS,
MANUAL TRANSFER SWITCH,
1600A/3P, 208Y/120V, NEMA 3R</t>
  </si>
  <si>
    <t>SPD,
SURGE PROTECTIVE DEVICE</t>
  </si>
  <si>
    <t>SUPER CRITICAL GRADE SOUND ATTENUATED ACOUSTICAL ENCLOSURE WITH 24-HOUR SKID MOUNT DIESEL FUEL TANK</t>
  </si>
  <si>
    <r>
      <rPr>
        <sz val="12"/>
        <color theme="1"/>
        <rFont val="Calibri"/>
        <charset val="134"/>
      </rPr>
      <t>UTILITY PRODUCTION METER (</t>
    </r>
    <r>
      <rPr>
        <sz val="12"/>
        <color rgb="FFFF0000"/>
        <rFont val="Calibri"/>
        <charset val="134"/>
      </rPr>
      <t>BY UTILITY</t>
    </r>
    <r>
      <rPr>
        <sz val="12"/>
        <color theme="1"/>
        <rFont val="Calibri"/>
        <charset val="134"/>
      </rPr>
      <t>)</t>
    </r>
  </si>
  <si>
    <t>EQUIPMENT CONNECTIONS</t>
  </si>
  <si>
    <t>CONNECTION FOR BATTERY CHARGER</t>
  </si>
  <si>
    <t>CONNECTION FOR BC</t>
  </si>
  <si>
    <t>CONNECTION FOR BLOCK HEATER</t>
  </si>
  <si>
    <t>CONNECTION FOR CARD READER</t>
  </si>
  <si>
    <t>CONNECTION FOR CENTURION ALARM</t>
  </si>
  <si>
    <t>CONNECTION FOR CP</t>
  </si>
  <si>
    <t>CONNECTION FOR CU</t>
  </si>
  <si>
    <t>CONNECTION FOR DEV</t>
  </si>
  <si>
    <t>CONNECTION FOR DLC</t>
  </si>
  <si>
    <t>CONNECTION FOR EF</t>
  </si>
  <si>
    <t>CONNECTION FOR ERV</t>
  </si>
  <si>
    <t>CONNECTION FOR EWH</t>
  </si>
  <si>
    <t>CONNECTION FOR FAA</t>
  </si>
  <si>
    <t>CONNECTION FOR FCU</t>
  </si>
  <si>
    <t>CONNECTION FOR GATE CONTROLLER</t>
  </si>
  <si>
    <t>CONNECTION FOR HWHP</t>
  </si>
  <si>
    <t>CONNECTION FOR IRRIGATION CONTROLLER</t>
  </si>
  <si>
    <t>CONNECTION FOR ITM</t>
  </si>
  <si>
    <t>CONNECTION FOR LED SCREEN PANEL</t>
  </si>
  <si>
    <t>CONNECTION FOR LIGHTING/RECEPTACLE CONTROLLER</t>
  </si>
  <si>
    <t>CONNECTION FOR RADIO TOWER</t>
  </si>
  <si>
    <t>CONNECTION FOR SECURITY CONTROL PANEL</t>
  </si>
  <si>
    <t>CONNECTION FOR TPS</t>
  </si>
  <si>
    <t>MISCELLANEOUS</t>
  </si>
  <si>
    <t>17"X10" DUCTBANK</t>
  </si>
  <si>
    <t>17"X17" DUCT BANK</t>
  </si>
  <si>
    <t>PAD FOR 400KW GENERATOR</t>
  </si>
  <si>
    <t>PAD FOR UTILITY XFMR</t>
  </si>
  <si>
    <t>TRENCHING AND BACKFILLING</t>
  </si>
  <si>
    <t>WARNING TAPE</t>
  </si>
  <si>
    <t>BRANCH WIRING</t>
  </si>
  <si>
    <t>LIGHTING CIRCUITS</t>
  </si>
  <si>
    <t>1"C PVC</t>
  </si>
  <si>
    <t>3/4"C EMT</t>
  </si>
  <si>
    <t>#10 THHN SOLID</t>
  </si>
  <si>
    <t>#12 THHN SOLID</t>
  </si>
  <si>
    <t>#14 THHN SOLID</t>
  </si>
  <si>
    <t>POWER CIRCUITS</t>
  </si>
  <si>
    <t>1 1/4"C EMT</t>
  </si>
  <si>
    <t>1 1/4"C RGS</t>
  </si>
  <si>
    <t>1 1/4"C LFMC</t>
  </si>
  <si>
    <t>1 1/4"C PVC</t>
  </si>
  <si>
    <t>1"C EMT</t>
  </si>
  <si>
    <t>1"C LFMC</t>
  </si>
  <si>
    <t>3/4"C FLEX S</t>
  </si>
  <si>
    <t>3/4"C RGS</t>
  </si>
  <si>
    <t>3/4"C LFMC</t>
  </si>
  <si>
    <t>1/2"C EMT</t>
  </si>
  <si>
    <t>#3 THHN</t>
  </si>
  <si>
    <t>#6 THHN</t>
  </si>
  <si>
    <t>POWER DEVICES</t>
  </si>
  <si>
    <t>20A/1P HRS (HAND RESET SWITCH)</t>
  </si>
  <si>
    <t>20A/2P HRS (HAND RESET SWITCH)</t>
  </si>
  <si>
    <t>20A/2P HRS (HAND RESET SWITCH) WP</t>
  </si>
  <si>
    <t>30A/2P HRS (HAND RESET SWITCH)</t>
  </si>
  <si>
    <t>30A/2P HRS (HAND RESET SWITCH) WP</t>
  </si>
  <si>
    <t>3000 SERIES WIREMOLD</t>
  </si>
  <si>
    <t>DUPLEX RECEPTACLE</t>
  </si>
  <si>
    <t>DUPLEX RECEPTACLE GFCI</t>
  </si>
  <si>
    <t>DUPLEX RECEPTACLE GFCI WP</t>
  </si>
  <si>
    <t>FLOOR BOX WITH (1) DUPLEX RECEPTACLE AND (1) COMMUNICATION OUTLET</t>
  </si>
  <si>
    <t>FLOOR BOX WITH (1) QUAD RECEPTACLE AND (1) COMMUNICATION OUTLET</t>
  </si>
  <si>
    <t>FLOOR BOX WITH (1) QUAD RECEPTACLE, (1) DUPLEX RECEPTACLE  AND (1) COMMUNICATION OUTLET</t>
  </si>
  <si>
    <t>GUTTER TO SERVE EV CHARGING STATIONS</t>
  </si>
  <si>
    <t>P1,
4'-8"X7'X7' PRIMARY JUNCTION VAULT</t>
  </si>
  <si>
    <t>POWER PEDESTAL WITH 
(3) CIRCUIT BREAKER
(1) DUPLEX RECEPTACLE GFCI WP NEMA 5-20R
(1) SPECIAL PURPOSE RECEPTACLE WP 14-50R
(1) SPECIAL PURPOSE RECEPTACLE WP 5-30R
(1) COMMUNICATION OUTLET  
EATON CHU1N9G4NPLTZ</t>
  </si>
  <si>
    <t>QUAD RECEPTACLE</t>
  </si>
  <si>
    <t>QUAD RECEPTACLE NEMA L5-20R</t>
  </si>
  <si>
    <t>R,
CONTROLLED RECEPTACLE RELAY</t>
  </si>
  <si>
    <t>SMR (12'5")</t>
  </si>
  <si>
    <t>SPECIAL PURPOSE RECEPTACLE L6-30R</t>
  </si>
  <si>
    <t>SPECIAL PURPOSE RECEPTACLE L14-50R</t>
  </si>
  <si>
    <t>LIGHTING</t>
  </si>
  <si>
    <t>LIGHT FIXTURES</t>
  </si>
  <si>
    <t>DA1,
3" DIAMETER RECESSED LED DOWNLIGHT,
LIGHTHEADED, #"OPUS" SERIES</t>
  </si>
  <si>
    <t>DA1 EM,_x000D_
3" DIAMETER RECESSED LED DOWNLIGHT,_x000D_
LIGHTHEADED, #"OPUS" SERIES</t>
  </si>
  <si>
    <t>DA2,_x000D_
3" DIAMETER RECESSED LED DOWNLIGHT,_x000D_
LIGHTHEADED, #"OPUS" SERIES</t>
  </si>
  <si>
    <t>DA2 EM,_x000D_
3" DIAMETER RECESSED LED DOWNLIGHT,_x000D_
LIGHTHEADED, #"OPUS" SERIES</t>
  </si>
  <si>
    <t>DA3,_x000D_
3" DIAMETER RECESSED LED DOWNLIGHT,_x000D_
LIGHTHEADED, #"OPUS" SERIES</t>
  </si>
  <si>
    <t>DB1,
3" SQUARE RECESSED LED DOWNLIGHT,
LIGHTHEADED, #"OPUS" SERIES</t>
  </si>
  <si>
    <t>DB1 EM,_x000D_
3" SQUARE RECESSED LED DOWNLIGHT,_x000D_
LIGHTHEADED, #"OPUS" SERIES</t>
  </si>
  <si>
    <t>DB2,
3'' SQUARE RECESSED LED DOWNLIGHT,
LIGHTHEADED, #"OPUS" SERIES</t>
  </si>
  <si>
    <t>DC1,_x000D_
3" SQUARE RECESSED LED WALL WASH DOWNLIGHT_x000D_
LIGHTHEADED, #"OPUS" SERIES</t>
  </si>
  <si>
    <t>DD1,_x000D_
3" DIAMETER RECESSED LENSED LED DOWNLIGHT (SHOWER),_x000D_
LIGHTHEADED, #"OPUS" SERIES</t>
  </si>
  <si>
    <t>EA,
EDGELIT LED EXIT SIGN,
EMERGI-LITE, "PRESTIGE EDGE-LIT" SERIES</t>
  </si>
  <si>
    <t>EB1,
SURFACE MOUNTED DUAL HEAD EM LIGHTING,
SURE-LITES, 'SELDWA29' SERIES</t>
  </si>
  <si>
    <t>EC1,
SURFACE MOUNTED DUAL HEAD EM LIGHTING,
SURE-LITES, 'SELDWA50' SERIES</t>
  </si>
  <si>
    <t>HA1,
4'-0" SUSPENDED LINEAR LED UTILITY LUMINAIRE,
METALUX, #SNX LENSED' SERIES</t>
  </si>
  <si>
    <t>HD1,
4'H 4" DIA. SUSPENDED LED DECORATIVE PENDANT,
SPI, #•PAVO 4 INCH* SERIES</t>
  </si>
  <si>
    <t>HF1,
34'-0" PENDANT MOUNTED DIRECT/ INDIRECT LINEAR LED,
PINNACLE, 'CHUTE" SERIES</t>
  </si>
  <si>
    <t>HF2,_x000D_
34'-0" PENDANT MOUNTED DIRECT/ INDIRECT LINEAR LED,_x000D_
PINNACLE, 'CHUTE" SERIES</t>
  </si>
  <si>
    <t>RB1,
2'X4' LED LAY-IN LENSED TROFFER,
AXIS, DIA SERIES</t>
  </si>
  <si>
    <t>RC1,
16'-0" RECESSED LED LINEAR FOR GRID CEILING,
EXTANT, HTG-3R-LP' SERIES</t>
  </si>
  <si>
    <t>RD1,_x000D_
8-0" RECESSED LED LINEAR FOR WOOD CEILING,_x000D_
BETA CALCO, LE LOUVRE SERIES</t>
  </si>
  <si>
    <t>RF1 12',_x000D_
12'-0" RECESSED LED LINEAR FOR WOOD CEILING,_x000D_
BETA CALCO, LE LOUVRE SERIES</t>
  </si>
  <si>
    <t>RG1 7'3",
APERTURE RECESSED LED PERIMETER WALL SLOT,
PINNALE, 'EDGE EV4DPM" SERIES</t>
  </si>
  <si>
    <t>RG1 8'2",_x000D_
APERTURE RECESSED LED PERIMETER WALL SLOT,_x000D_
PINNALE, 'EDGE EV4DPM" SERIES</t>
  </si>
  <si>
    <t>RG1 11'3",_x000D_
APERTURE RECESSED LED PERIMETER WALL SLOT,_x000D_
PINNALE, 'EDGE EV4DPM" SERIES</t>
  </si>
  <si>
    <t>RG1 12',_x000D_
APERTURE RECESSED LED PERIMETER WALL SLOT,_x000D_
PINNALE, 'EDGE EV4DPM" SERIES</t>
  </si>
  <si>
    <t>RG1 13'7",_x000D_
APERTURE RECESSED LED PERIMETER WALL SLOT,_x000D_
PINNALE, 'EDGE EV4DPM" SERIES</t>
  </si>
  <si>
    <t>RG1 16',_x000D_
APERTURE RECESSED LED PERIMETER WALL SLOT,_x000D_
PINNALE, 'EDGE EV4DPM" SERIES</t>
  </si>
  <si>
    <t>SA1,
13'-0'X 2"x2" MULLION MOUNTED LED LINEAR INDIRECT,
AXIS, "EXTEND 2" SERIES</t>
  </si>
  <si>
    <t>SA2,_x000D_
28'-9"  2"x2" MULLION MOUNTED LED LINEAR INDIRECT,_x000D_
AXIS, "EXTEND 2" SERIES</t>
  </si>
  <si>
    <t>SA3,_x000D_
17' 2"x2" MULLION MOUNTED LED LINEAR INDIRECT,_x000D_
AXIS, "EXTEND 2" SERIES</t>
  </si>
  <si>
    <t>SB1,
9'-4" LENGTH- 6 "X6"  LED LINEAR MOUNTED IN MILLWORK,
LUMINI, "BOSCA" SERIES</t>
  </si>
  <si>
    <t>SG1,
3" DIAMETER SURFACE MOUNTED ADJUSTABLE LUMINAIRE,
LIGHTHEADED, PIPE SERIES</t>
  </si>
  <si>
    <t>UA1 11'5",
LED UNDERCABINET LIGHT,
LUMINII, "KENDO S STATIC WHITE' SERIES</t>
  </si>
  <si>
    <t>UA1 13'7",_x000D_
LED UNDERCABINET LIGHT,_x000D_
LUMINII, "KENDO S STATIC WHITE' SERIES</t>
  </si>
  <si>
    <t>WB1,
36" DIA. SURFACE MOUNTED DECORATIVE,
TMS, "JOOPI" SERIES</t>
  </si>
  <si>
    <t>WC1,_x000D_
40" DIA. SURFACE MOUNTED DECORATIVE,_x000D_
TMS, "JOOPI" SERIES</t>
  </si>
  <si>
    <t>WD1 EM,
7-3/32"L X 2-11/64"H X 3-17/64D WALL MOUNTED LED LUMINAIRE,
HEPER, "DOGO 8" SERIES</t>
  </si>
  <si>
    <t>WF1,
13'-0" LENGTH 2"x2" MULLION MOUNTED LED LINEAR INDIRECT,
AXIS, "EXTEND 2" SERIES</t>
  </si>
  <si>
    <t>WF2,_x000D_
14'-0" LENGTH 2"x2" MULLION MOUNTED LED LINEAR INDIRECT,_x000D_
AXIS, "EXTEND 2" SERIES</t>
  </si>
  <si>
    <t>WF3,_x000D_
14'-0" LENGTH 2"x2" MULLION MOUNTED LED LINEAR INDIRECT,_x000D_
AXIS, "EXTEND 2" SERIES</t>
  </si>
  <si>
    <t>WF4,_x000D_
17'-0" LENGTH 2"x2" MULLION MOUNTED LED LINEAR INDIRECT,_x000D_
AXIS, "EXTEND 2" SERIES</t>
  </si>
  <si>
    <t>WF5,_x000D_
5'-3" LENGTH 2"x2" MULLION MOUNTED LED LINEAR INDIRECT,_x000D_
AXIS, "EXTEND 2" SERIES</t>
  </si>
  <si>
    <t>SITE LIGHT FIXTURES</t>
  </si>
  <si>
    <t>BA1,
36" HEIGHT - LED BOLLARD LUMINAIRE,
HEPER, "DRAGO" SERIES</t>
  </si>
  <si>
    <t>GA1,
IN-GRADE LED LUMINAIRE FLAG UPLIGHT,
VISTA PRO, "1185" SERIES</t>
  </si>
  <si>
    <t>GB1,
8-13/32" DIAMETER IN-GRADE SURFACE MOUNTED LED LUMINAIRE FLAG UPLIGHT,
VISTA PRO, "1185SE" SERIES</t>
  </si>
  <si>
    <t>PA1,
20'-0" POLE MOUNTED LED AREA LUMINAIRE - SINGLE HEAD,
RAGNI, 'DOMITIENNE V2 SERIES</t>
  </si>
  <si>
    <t>PA2,_x000D_
20'-0" POLE MOUNTED LED AREA LUMINAIRE - SINGLE HEAD,_x000D_
RAGNI, 'DOMITIENNE V2 SERIES</t>
  </si>
  <si>
    <t>SC1,
LINEAR FLOODLIGHT FOR MONUMENT SIGN,
VISTA PRO, "MODEL 1050KM' SERIES</t>
  </si>
  <si>
    <t>SD1 (11'),
UNDER BENCH LED TAPE MOUNTED IN EXTRUSION POURED IN CONCRETE BENCH,
BEALUX, "FLORENCE' SERIES</t>
  </si>
  <si>
    <t>SD1 (13'),_x000D_
UNDER BENCH LED TAPE MOUNTED IN EXTRUSION POURED IN CONCRETE BENCH,_x000D_
BEALUX, "FLORENCE' SERIES</t>
  </si>
  <si>
    <t>SITE LIGHT POLES</t>
  </si>
  <si>
    <t>8'X2' SITE LIGHT LIGHTING POLE BASE</t>
  </si>
  <si>
    <t>SINGLE HEAD SITE LIGHT LIGHTING POLE (20')</t>
  </si>
  <si>
    <t>LIGHTING CONTROLS</t>
  </si>
  <si>
    <t>L,
DAYLIGHT SENSOR</t>
  </si>
  <si>
    <t>LCP, LIGHTING CONTROL PANEL</t>
  </si>
  <si>
    <t>OS,_x000D_
CEILING MOUNTED DUAL TECHNOLOGY OCCUPANCY SENSOR</t>
  </si>
  <si>
    <t>S OSD,
WALL MOUNTED OCCUPANCY SENSOR DIMMER SWITCH</t>
  </si>
  <si>
    <t>S,_x000D_
SINGLE POLE SWITCH</t>
  </si>
  <si>
    <t>S3,_x000D_
THREE WAY SWITCH</t>
  </si>
  <si>
    <t>SC-1,
SCENE CONTROL STATION WITH SINGLE BUTTON</t>
  </si>
  <si>
    <t>SC-2,
SCENE CONTROL STATION WITH SINGLE BUTTON</t>
  </si>
  <si>
    <t>SC-3,_x000D_
SCENE CONTROL STATION WITH SINGLE BUTTON WITH RAISE/LOWER</t>
  </si>
  <si>
    <t>SC-4,_x000D_
SCENE CONTROL STATION WITH SINGLE BUTTON</t>
  </si>
  <si>
    <t>SC-5,_x000D_
SCENE CONTROL STATION WITH SINGLE BUTTON WITH RAISE/LOWER</t>
  </si>
  <si>
    <t>SC-6,_x000D_
SCENE CONTROL STATION WITH SINGLE BUTTON WITH RAISE/LOWER</t>
  </si>
  <si>
    <t>SC-7,_x000D_
SCENE CONTROL STATION WITH SINGLE BUTTON</t>
  </si>
  <si>
    <t>SC-8,_x000D_
SCENE CONTROL STATION WITH SINGLE BUTTON WITH RAISE/LOWER</t>
  </si>
  <si>
    <t>SC-9,_x000D_
SCENE CONTROL STATION WITH SINGLE BUTTON WITH RAISE/LOWER</t>
  </si>
  <si>
    <t>SC-10,_x000D_
SCENE CONTROL STATION WITH SINGLE BUTTON</t>
  </si>
  <si>
    <t>SC-11,_x000D_
SCENE CONTROL STATION WITH SINGLE BUTTON WITH RAISE/LOWER</t>
  </si>
  <si>
    <t>SC-12,_x000D_
SCENE CONTROL STATION WITH SINGLE BUTTON</t>
  </si>
  <si>
    <t>SC-13,
SCENE CONTROL STATION WITH SINGLE BUTTON WITH RAISE/LOWER</t>
  </si>
  <si>
    <t>SC-14,_x000D_
SCENE CONTROL STATION WITH SINGLE BUTTON WITH RAISE/LOWER</t>
  </si>
  <si>
    <t>SC-15,_x000D_
SCENE CONTROL STATION WITH SINGLE BUTTON WITH RAISE/LOWER</t>
  </si>
  <si>
    <t>SD,_x000D_
DIMMER SWITCH</t>
  </si>
  <si>
    <t>SOS,_x000D_
WALL MOUNTED OCCUPANCY SENSOR SWITCH</t>
  </si>
  <si>
    <t>WALL MOUNTED OCCUPANCY SENSOR SWITCH</t>
  </si>
  <si>
    <t>LIGHTING SUPPORTS</t>
  </si>
  <si>
    <t>AIRCRAFT CABLES</t>
  </si>
  <si>
    <t>CLIPS</t>
  </si>
  <si>
    <t>JUNCTION BOX FOR LIGHTS</t>
  </si>
  <si>
    <t>DIVISION 26- TELECOMMUNICATION</t>
  </si>
  <si>
    <t>LOW VOLTAGE</t>
  </si>
  <si>
    <t>CONDIUTS</t>
  </si>
  <si>
    <t>CONDUCTORS</t>
  </si>
  <si>
    <t>5 PORTS OF CATO PLENUM RATED TIE CABLE</t>
  </si>
  <si>
    <t>CAT5E 25-PAIR PLENUM RATED CABLE</t>
  </si>
  <si>
    <t>24 STRAND ARMORED PLENUM RATED OS2 SINGLE-MODE FIBER OPTIC CABLE</t>
  </si>
  <si>
    <t>CAT 6</t>
  </si>
  <si>
    <t>DEVICES</t>
  </si>
  <si>
    <t>1U HORIZONTAL CABLE MANAGER</t>
  </si>
  <si>
    <t>1 2" TELCO STYLE CABLE TRAY RUNWAY 12'</t>
  </si>
  <si>
    <t>1 8" TELCO STYLE CABLE RUNWAY</t>
  </si>
  <si>
    <t>1 EZ-PATH SERIES 44 PATHWAY PNPZD44 FIRESTOP</t>
  </si>
  <si>
    <t>2U FIBER ENCLOSURE</t>
  </si>
  <si>
    <t>2X2X2 HANDHOLE</t>
  </si>
  <si>
    <t>3/4" FIRE RATED PLYWOOD</t>
  </si>
  <si>
    <t>SF</t>
  </si>
  <si>
    <t>4" CONDUIT SLEEVE</t>
  </si>
  <si>
    <t>6" VERTICAL WIRE MANAGER</t>
  </si>
  <si>
    <t>10" VERTICAL WIRE MANAGER</t>
  </si>
  <si>
    <t>12' WIDE X 6" HIGH METAL CHANNEL WITH LID</t>
  </si>
  <si>
    <t>18" WIDE CABLE TRAY</t>
  </si>
  <si>
    <t>24 PORT CAT5E PATCH PANEL</t>
  </si>
  <si>
    <t>24 PORT CAT6 PATCH PANEL</t>
  </si>
  <si>
    <t>25' SERVICE LOOP</t>
  </si>
  <si>
    <t>45RU 4-POST 19" OPEN FRAME RACK</t>
  </si>
  <si>
    <t>48 PORT CAT6 PATCH PANEL</t>
  </si>
  <si>
    <t>C1,
3'X5'X3' COMMUNICATIONS VAULT</t>
  </si>
  <si>
    <t>CEILING MOUNTED WIRELESS ACCESS POINT</t>
  </si>
  <si>
    <t>COMMUNICATION OUTLET</t>
  </si>
  <si>
    <t>EXTERIOR COMMUNICATON OUTLET</t>
  </si>
  <si>
    <t>LC DUPLEX TERMINATION WITH PORT COUNT</t>
  </si>
  <si>
    <t>PORT COUNT</t>
  </si>
  <si>
    <t>PULL BOX (8'W X 12"D X MIN.)</t>
  </si>
  <si>
    <t>RACK MOUNT CAT5E 24 PORT PATCH PANEL</t>
  </si>
  <si>
    <t>RACK MOUNTED COMMUNICATION OUTLET</t>
  </si>
  <si>
    <t>SYSTEM DISPATCH FURNITURE COMMUNICATON OUTLET</t>
  </si>
  <si>
    <t>T TYPE ELBOW</t>
  </si>
  <si>
    <t>T,_x000D_
(DETAIL NOT GIVEN)</t>
  </si>
  <si>
    <t>WALL MOUNT 110-BLOCK</t>
  </si>
  <si>
    <t>WALL MOUNTED WIRELESS ACCESS POINT</t>
  </si>
  <si>
    <t>WIRELESS EXTENDER OUTLET</t>
  </si>
  <si>
    <t>2 GANG BACKBOX</t>
  </si>
  <si>
    <t>4"X4" BACKBOX</t>
  </si>
  <si>
    <t>TELECOM RADIO INSTALLATION</t>
  </si>
  <si>
    <t>#2 BARE CU GROUND WIRE</t>
  </si>
  <si>
    <t>#2 SOLID TIN COATED COPPER CONDUCTOR</t>
  </si>
  <si>
    <t>#4/0 BAR TIN COATED BARE COPPER CONDUCTOR</t>
  </si>
  <si>
    <t>7/8" COAX CABLE</t>
  </si>
  <si>
    <t>COPPER GROUND STRAPS</t>
  </si>
  <si>
    <t>(2) BOLT ASSEMBLY 5/3' X 1-3/4"</t>
  </si>
  <si>
    <t>(4) BOLT ASSEMBLY 5/3' X 1-3/4"</t>
  </si>
  <si>
    <t>3/4" CONDUIT SLEEVE</t>
  </si>
  <si>
    <t>AHAB</t>
  </si>
  <si>
    <t>ARES,
DIAMOND ANTENNA, F142</t>
  </si>
  <si>
    <t>ARES,
DIAMOND ANTENNA, X-30A</t>
  </si>
  <si>
    <t>ARES,
DIEX, DXM60</t>
  </si>
  <si>
    <t>ARES,
DIEX, DXM80</t>
  </si>
  <si>
    <t>ARES,
M2 ANTENNA SYSTEMS, 6M3</t>
  </si>
  <si>
    <t>ARES,
MOSLEY, PRO-57-B-40</t>
  </si>
  <si>
    <t>CABLE GROUNDING KIT,
L-COM, HT-GK400</t>
  </si>
  <si>
    <t>CAP PLATE CP4A</t>
  </si>
  <si>
    <t>CONCRETE BASE 5'X5'X2'</t>
  </si>
  <si>
    <t>CONNECTOR, N-TYPE</t>
  </si>
  <si>
    <t>EGB,
EXTERIOR GROUND BUS BAR</t>
  </si>
  <si>
    <t>FENCE GROUND BUS</t>
  </si>
  <si>
    <t>GROUND ROD</t>
  </si>
  <si>
    <t>HOOD ENTRY KIT
ANDREW .(COM M SCOPE)
MODEL MT-365G
OAE</t>
  </si>
  <si>
    <t>JOINT BOLT KIT 65JBK</t>
  </si>
  <si>
    <t>PBB,
PRIMARY BONDING BUSBAR</t>
  </si>
  <si>
    <t>PENDOT,
TELEWAVE.IO, ANT150D3</t>
  </si>
  <si>
    <t>PENDOT,_x000D_
TELEWAVE.IO, ANT450D3</t>
  </si>
  <si>
    <t>RADIO TOWER (65')</t>
  </si>
  <si>
    <t>ROTATOR,
HY-GAIN, HAM-VII</t>
  </si>
  <si>
    <t>SAGE</t>
  </si>
  <si>
    <t>SURGE PROTECTION DEVICE,
POLYPHASER, IS-50NX-C0</t>
  </si>
  <si>
    <t>SURGE PROTECTION DEVICE,
POLYPHASER, IS-RCT</t>
  </si>
  <si>
    <t>TGB,
TELECOMMUNICATION GROUND BUS BAR</t>
  </si>
  <si>
    <t>WASHDOT</t>
  </si>
  <si>
    <t>DIVISION 28- ELECTRONIC SAFETY &amp; SECUIRITY</t>
  </si>
  <si>
    <t>SECURITY</t>
  </si>
  <si>
    <t>8" X 8" X 4" JUNCTION BOX WITH HINGED COVER</t>
  </si>
  <si>
    <t>24X24X6 WEATHERPROOF, LOCKABLE, PAD-MOUNTED SECURITY INTERFACE BOX WITH CAMERA, CARD READER AND VEDIO INTERCOM</t>
  </si>
  <si>
    <t>180 DEGREE IP SECURITY CAMERA</t>
  </si>
  <si>
    <t>270 DEGREE SECURITY CAMERA WP</t>
  </si>
  <si>
    <t>CR,
CARD READER</t>
  </si>
  <si>
    <t>DC,
DOOR CONTACTOR</t>
  </si>
  <si>
    <t>POLE MOUNTED CAMERA WP</t>
  </si>
  <si>
    <t>SECURITY CONTROL PANEL</t>
  </si>
  <si>
    <t>SINGLE SENSOR IP SECURITY CAMERA</t>
  </si>
  <si>
    <t>VI,
VEDIO INTERCOM</t>
  </si>
  <si>
    <t>VM,
VEDIO INTERCOM MASTER STATION</t>
  </si>
  <si>
    <t>4"X4" BACKBOX WP</t>
  </si>
  <si>
    <t>AUDIO VISUAL SYSTEM</t>
  </si>
  <si>
    <t>CAT 6 CABLE</t>
  </si>
  <si>
    <t>HDMI CABLE</t>
  </si>
  <si>
    <t>#18/2C CONTROL CABLE</t>
  </si>
  <si>
    <t>S70 CABLE</t>
  </si>
  <si>
    <t>AA,
ALS ANTENNA</t>
  </si>
  <si>
    <t>AV1,
A/V I/O PANEL</t>
  </si>
  <si>
    <t>AV3,_x000D_
A/V I/O PANEL</t>
  </si>
  <si>
    <t>AV4,
AN I/O PANEL - TYPE 4</t>
  </si>
  <si>
    <t>CAM1,
PTZ CAMERA - TYPE 1</t>
  </si>
  <si>
    <t>CM1,
CEILING MICROPHONE</t>
  </si>
  <si>
    <t>DV1,
DIRECT VIEW LED DISPLAY - TYPE 1</t>
  </si>
  <si>
    <t>FP1,
FLAT PANEL DISPLAY</t>
  </si>
  <si>
    <t>FP2,_x000D_
FLAT PANEL DISPLAY</t>
  </si>
  <si>
    <t>FP3,_x000D_
FLAT PANEL DISPLAY</t>
  </si>
  <si>
    <t>IC1,
CEILING LOUDSPEAKER</t>
  </si>
  <si>
    <t>MA,
WIRELESS MIC ANTENNA</t>
  </si>
  <si>
    <t>P1,
PENDANT LOUDSPEAKER</t>
  </si>
  <si>
    <t>PM1,
PENDANT MICROPHONE</t>
  </si>
  <si>
    <t>RK1,
EQUIPMENT RACK</t>
  </si>
  <si>
    <t>RK2,_x000D_
EQUIPMENT RACK</t>
  </si>
  <si>
    <t>TP1,
CONTROL TOUCH PANEL - TYPE 1</t>
  </si>
  <si>
    <t>VB1,
VIDEO BAR - TYPE 1</t>
  </si>
  <si>
    <t>WB1,
WALL BOX - TYPE 1</t>
  </si>
  <si>
    <t>FIRE ALARM</t>
  </si>
  <si>
    <t>CLEAN AGENT FIRE ALARM CONTROL AND ANNUNCIATION PANEL WITH INTELLIGENT RELEASING MODULES OR MULTIPLE INDIVIDUAL RELEASING CONTROL PANELS</t>
  </si>
  <si>
    <t>FA REMOTE ANNUNCIATOR</t>
  </si>
  <si>
    <t>FACP,
FIRE ALARM CONTROL PANEL</t>
  </si>
  <si>
    <t>NOTE</t>
  </si>
  <si>
    <t>PRIMARY CONDUIT SIZE AND QUANTITY FOR THE UTILITY TRANSFORMER ARE NOT INDICATED IN THE DRAWINGS. THEREFORE, 6 SETS OF 4" CONDUITS HAVE BEEN ASSUMED FOR ESTIMATION PURPOSES.</t>
  </si>
  <si>
    <t>TOTAL LABOR HOURS</t>
  </si>
  <si>
    <t>TOTAL AMOUNT</t>
  </si>
  <si>
    <t>MATERIAL MARKUPS</t>
  </si>
  <si>
    <t>LABOR MARKUPS</t>
  </si>
  <si>
    <t>ADD ALTERNATE (PEDESTRIAN GATE CARD READER)</t>
  </si>
  <si>
    <t>EQUIPMENT CONNECTION</t>
  </si>
  <si>
    <t>CONNECTION FOR PEDESTRIAN GATE CARD READER</t>
  </si>
  <si>
    <t>CARD READER FOR PEDESTRIAN SECURITY GATE WP</t>
  </si>
  <si>
    <t>Labor Type</t>
  </si>
  <si>
    <t>Labor Rate</t>
  </si>
  <si>
    <t>Elec</t>
  </si>
  <si>
    <t>Each/Count</t>
  </si>
  <si>
    <t>Linear Footage</t>
  </si>
  <si>
    <t>Square Footage</t>
  </si>
  <si>
    <t>Square Yard</t>
  </si>
  <si>
    <t>SY</t>
  </si>
  <si>
    <t>Cubic Yard</t>
  </si>
  <si>
    <t>CY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</si>
  <si>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</si>
  <si>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</si>
  <si>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</si>
  <si>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</si>
  <si>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</si>
  <si>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</si>
  <si>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</si>
  <si>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</si>
  <si>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</si>
  <si>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</si>
  <si>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</si>
  <si>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</si>
  <si>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LBS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</si>
  <si>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</si>
  <si>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</si>
  <si>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</si>
  <si>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</si>
  <si>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</si>
  <si>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</si>
  <si>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</si>
  <si>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</si>
  <si>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</si>
  <si>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</si>
  <si>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</si>
  <si>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</si>
  <si>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</si>
  <si>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</si>
  <si>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</si>
  <si>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</si>
  <si>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</si>
  <si>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</si>
  <si>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</si>
  <si>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NOTE:</t>
  </si>
  <si>
    <t>Prevailing wages have been included in this estimate in compliance with the Davis-Bacon Act.</t>
  </si>
  <si>
    <t>Material pricing is based on current market rates sourced from reputable online platforms and suppliers.</t>
  </si>
  <si>
    <t>Please note that actual costs may vary depending on site-specific conditions, unforeseen circumstances, or changes in market conditions.</t>
  </si>
  <si>
    <t>ABC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</si>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</sst>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000000"/>
    <numFmt numFmtId="168" formatCode="0.000"/>
    <numFmt numFmtId="169" formatCode="0.0"/>
    <numFmt numFmtId="170" formatCode="_(&quot;$&quot;* #,##0.0_);_(&quot;$&quot;* \(#,##0.0\);_(&quot;$&quot;* &quot;-&quot;??_);_(@_)"/>
    <numFmt numFmtId="171" formatCode="0.0%"/>
    <numFmt numFmtId="172" formatCode="_-* #,##0.00_-;\-* #,##0.00_-;_-* &quot;-&quot;??_-;_-@_-"/>
    <numFmt numFmtId="173" formatCode="[$-409]d/mmm/yy;@"/>
    <numFmt numFmtId="174" formatCode="_-[$$-409]* #,##0_ ;_-[$$-409]* \-#,##0\ ;_-[$$-409]* &quot;-&quot;??_ ;_-@_ "/>
  </numFmts>
  <fonts count="46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b/>
      <sz val="10"/>
      <color rgb="FFFF0000"/>
      <name val="Calibri"/>
      <charset val="134"/>
    </font>
    <font>
      <sz val="10"/>
      <color theme="1"/>
      <name val="Calibri"/>
      <charset val="134"/>
    </font>
    <font>
      <sz val="12"/>
      <color theme="1"/>
      <name val="Calibri"/>
      <charset val="134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4"/>
      <color theme="0"/>
      <name val="Calibri"/>
      <charset val="134"/>
    </font>
    <font>
      <b/>
      <sz val="14"/>
      <color theme="1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4"/>
      <name val="Calibri"/>
      <charset val="134"/>
    </font>
    <font>
      <b/>
      <sz val="12"/>
      <color rgb="FF009A88"/>
      <name val="Calibri"/>
      <charset val="134"/>
    </font>
    <font>
      <sz val="12"/>
      <color rgb="FFFFFFFF"/>
      <name val="Calibri"/>
      <charset val="134"/>
    </font>
    <font>
      <b/>
      <sz val="12"/>
      <color rgb="FFFFFFFF"/>
      <name val="Calibri"/>
      <charset val="134"/>
    </font>
    <font>
      <sz val="12"/>
      <color indexed="9"/>
      <name val="Calibri"/>
      <charset val="134"/>
    </font>
    <font>
      <b/>
      <sz val="12"/>
      <color indexed="9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2"/>
      <color indexed="8"/>
      <name val="Calibri"/>
      <charset val="134"/>
    </font>
    <font>
      <sz val="12"/>
      <color rgb="FF0C0C0C"/>
      <name val="Calibri"/>
      <charset val="134"/>
    </font>
    <font>
      <b/>
      <sz val="12"/>
      <name val="Calibri"/>
      <charset val="134"/>
    </font>
    <font>
      <b/>
      <sz val="12"/>
      <color rgb="FF000000"/>
      <name val="Calibri"/>
      <charset val="134"/>
    </font>
    <font>
      <b/>
      <sz val="12"/>
      <color rgb="FF0C0C0C"/>
      <name val="Calibri"/>
      <charset val="134"/>
    </font>
    <font>
      <b/>
      <sz val="12"/>
      <color theme="6"/>
      <name val="Calibri"/>
      <charset val="134"/>
    </font>
    <font>
      <b/>
      <sz val="12"/>
      <name val="Calibri"/>
      <charset val="134"/>
    </font>
    <font>
      <b/>
      <sz val="16"/>
      <color rgb="FFFFFFFF"/>
      <name val="Calibri"/>
      <charset val="134"/>
    </font>
    <font>
      <b/>
      <sz val="12"/>
      <color rgb="FFFF0000"/>
      <name val="Calibri"/>
      <charset val="134"/>
    </font>
    <font>
      <sz val="11"/>
      <color theme="1"/>
      <name val="Times New Roman"/>
      <charset val="134"/>
    </font>
    <font>
      <sz val="16"/>
      <color rgb="FFFFFFFF"/>
      <name val="Times New Roman"/>
      <charset val="134"/>
    </font>
    <font>
      <sz val="14"/>
      <color rgb="FFFFFFFF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4"/>
      <color rgb="FF000000"/>
      <name val="Times New Roman"/>
      <charset val="134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  <font>
      <sz val="12"/>
      <color rgb="FFFF0000"/>
      <name val="Calibri"/>
      <charset val="134"/>
    </font>
    <font>
      <sz val="11"/>
      <color theme="1"/>
      <name val="Tw Cen MT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96A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rgb="FF36609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DAEEF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4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5" fillId="17" borderId="40" applyNumberFormat="0" applyFont="0" applyAlignment="0" applyProtection="0"/>
    <xf numFmtId="44" fontId="45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45" fillId="0" borderId="0"/>
    <xf numFmtId="0" fontId="41" fillId="0" borderId="0"/>
    <xf numFmtId="0" fontId="42" fillId="0" borderId="0">
      <protection locked="0"/>
    </xf>
    <xf numFmtId="9" fontId="41" fillId="0" borderId="0" applyFont="0" applyFill="0" applyBorder="0" applyAlignment="0" applyProtection="0"/>
    <xf numFmtId="9" fontId="45" fillId="0" borderId="0" applyFont="0" applyFill="0" applyBorder="0" applyAlignment="0" applyProtection="0"/>
    <xf numFmtId="1" fontId="43" fillId="2" borderId="15">
      <alignment horizontal="center" vertical="center"/>
    </xf>
  </cellStyleXfs>
  <cellXfs count="251">
    <xf numFmtId="0" fontId="0" fillId="0" borderId="0" xfId="0"/>
    <xf numFmtId="0" fontId="1" fillId="2" borderId="0" xfId="7" applyFont="1" applyFill="1"/>
    <xf numFmtId="0" fontId="2" fillId="2" borderId="0" xfId="7" applyFont="1" applyFill="1"/>
    <xf numFmtId="0" fontId="3" fillId="2" borderId="0" xfId="7" applyFont="1" applyFill="1"/>
    <xf numFmtId="0" fontId="4" fillId="3" borderId="1" xfId="7" applyFont="1" applyFill="1" applyBorder="1" applyAlignment="1">
      <alignment horizontal="center"/>
    </xf>
    <xf numFmtId="0" fontId="4" fillId="3" borderId="2" xfId="7" applyFont="1" applyFill="1" applyBorder="1" applyAlignment="1">
      <alignment horizontal="center"/>
    </xf>
    <xf numFmtId="0" fontId="3" fillId="4" borderId="3" xfId="7" applyFont="1" applyFill="1" applyBorder="1" applyAlignment="1">
      <alignment horizontal="right"/>
    </xf>
    <xf numFmtId="0" fontId="4" fillId="4" borderId="4" xfId="7" applyFont="1" applyFill="1" applyBorder="1"/>
    <xf numFmtId="44" fontId="4" fillId="4" borderId="5" xfId="6" applyFont="1" applyFill="1" applyBorder="1"/>
    <xf numFmtId="0" fontId="3" fillId="4" borderId="6" xfId="7" applyFont="1" applyFill="1" applyBorder="1" applyAlignment="1">
      <alignment horizontal="right"/>
    </xf>
    <xf numFmtId="0" fontId="4" fillId="4" borderId="0" xfId="7" applyFont="1" applyFill="1"/>
    <xf numFmtId="44" fontId="4" fillId="4" borderId="7" xfId="6" applyFont="1" applyFill="1" applyBorder="1"/>
    <xf numFmtId="0" fontId="3" fillId="4" borderId="8" xfId="7" applyFont="1" applyFill="1" applyBorder="1" applyAlignment="1">
      <alignment horizontal="right"/>
    </xf>
    <xf numFmtId="0" fontId="4" fillId="4" borderId="9" xfId="7" applyFont="1" applyFill="1" applyBorder="1"/>
    <xf numFmtId="166" fontId="4" fillId="4" borderId="10" xfId="6" applyNumberFormat="1" applyFont="1" applyFill="1" applyBorder="1"/>
    <xf numFmtId="0" fontId="4" fillId="5" borderId="3" xfId="7" applyFont="1" applyFill="1" applyBorder="1" applyAlignment="1">
      <alignment horizontal="right"/>
    </xf>
    <xf numFmtId="0" fontId="4" fillId="5" borderId="4" xfId="7" applyFont="1" applyFill="1" applyBorder="1"/>
    <xf numFmtId="9" fontId="4" fillId="5" borderId="5" xfId="11" applyFont="1" applyFill="1" applyBorder="1"/>
    <xf numFmtId="0" fontId="4" fillId="5" borderId="6" xfId="7" applyFont="1" applyFill="1" applyBorder="1"/>
    <xf numFmtId="0" fontId="4" fillId="5" borderId="0" xfId="7" applyFont="1" applyFill="1"/>
    <xf numFmtId="9" fontId="4" fillId="5" borderId="7" xfId="11" applyFont="1" applyFill="1" applyBorder="1"/>
    <xf numFmtId="0" fontId="4" fillId="5" borderId="8" xfId="7" applyFont="1" applyFill="1" applyBorder="1"/>
    <xf numFmtId="0" fontId="4" fillId="5" borderId="9" xfId="7" applyFont="1" applyFill="1" applyBorder="1"/>
    <xf numFmtId="9" fontId="4" fillId="5" borderId="10" xfId="11" applyFont="1" applyFill="1" applyBorder="1"/>
    <xf numFmtId="0" fontId="5" fillId="2" borderId="0" xfId="7" applyFont="1" applyFill="1"/>
    <xf numFmtId="0" fontId="6" fillId="2" borderId="0" xfId="7" applyFont="1" applyFill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8" fillId="2" borderId="0" xfId="0" applyFont="1" applyFill="1" applyAlignment="1">
      <alignment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3" fontId="16" fillId="2" borderId="0" xfId="0" applyNumberFormat="1" applyFont="1" applyFill="1" applyAlignment="1">
      <alignment horizontal="left" vertical="center" wrapText="1"/>
    </xf>
    <xf numFmtId="167" fontId="17" fillId="8" borderId="12" xfId="0" applyNumberFormat="1" applyFont="1" applyFill="1" applyBorder="1" applyAlignment="1">
      <alignment horizontal="center" vertical="center" wrapText="1"/>
    </xf>
    <xf numFmtId="167" fontId="17" fillId="8" borderId="13" xfId="0" applyNumberFormat="1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167" fontId="19" fillId="9" borderId="14" xfId="0" applyNumberFormat="1" applyFont="1" applyFill="1" applyBorder="1" applyAlignment="1">
      <alignment horizontal="center" vertical="center" wrapText="1"/>
    </xf>
    <xf numFmtId="167" fontId="19" fillId="9" borderId="15" xfId="0" applyNumberFormat="1" applyFont="1" applyFill="1" applyBorder="1" applyAlignment="1">
      <alignment horizontal="center" vertical="center" wrapText="1"/>
    </xf>
    <xf numFmtId="167" fontId="17" fillId="8" borderId="15" xfId="0" applyNumberFormat="1" applyFont="1" applyFill="1" applyBorder="1" applyAlignment="1">
      <alignment horizontal="center" vertical="center" wrapText="1"/>
    </xf>
    <xf numFmtId="0" fontId="20" fillId="9" borderId="15" xfId="0" applyFont="1" applyFill="1" applyBorder="1" applyAlignment="1">
      <alignment horizontal="left" vertical="center" wrapText="1"/>
    </xf>
    <xf numFmtId="1" fontId="21" fillId="2" borderId="12" xfId="3" applyNumberFormat="1" applyFont="1" applyFill="1" applyBorder="1" applyAlignment="1">
      <alignment horizontal="center" vertical="center" wrapText="1"/>
    </xf>
    <xf numFmtId="1" fontId="21" fillId="2" borderId="16" xfId="3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9" fontId="8" fillId="0" borderId="13" xfId="0" applyNumberFormat="1" applyFont="1" applyBorder="1" applyAlignment="1">
      <alignment horizontal="center" vertical="center" wrapText="1"/>
    </xf>
    <xf numFmtId="1" fontId="8" fillId="0" borderId="13" xfId="0" applyNumberFormat="1" applyFont="1" applyBorder="1" applyAlignment="1">
      <alignment horizontal="center" vertical="center" wrapText="1"/>
    </xf>
    <xf numFmtId="1" fontId="21" fillId="2" borderId="14" xfId="3" applyNumberFormat="1" applyFont="1" applyFill="1" applyBorder="1" applyAlignment="1">
      <alignment horizontal="center" vertical="center" wrapText="1"/>
    </xf>
    <xf numFmtId="1" fontId="21" fillId="2" borderId="17" xfId="3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9" fontId="8" fillId="0" borderId="15" xfId="0" applyNumberFormat="1" applyFont="1" applyBorder="1" applyAlignment="1">
      <alignment horizontal="center" vertical="center" wrapText="1"/>
    </xf>
    <xf numFmtId="1" fontId="8" fillId="0" borderId="15" xfId="0" applyNumberFormat="1" applyFont="1" applyBorder="1" applyAlignment="1">
      <alignment horizontal="center" vertical="center" wrapText="1"/>
    </xf>
    <xf numFmtId="1" fontId="21" fillId="2" borderId="18" xfId="3" applyNumberFormat="1" applyFont="1" applyFill="1" applyBorder="1" applyAlignment="1">
      <alignment horizontal="center" vertical="center" wrapText="1"/>
    </xf>
    <xf numFmtId="1" fontId="21" fillId="2" borderId="15" xfId="3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9" fontId="8" fillId="0" borderId="19" xfId="0" applyNumberFormat="1" applyFont="1" applyBorder="1" applyAlignment="1">
      <alignment horizontal="center" vertical="center" wrapText="1"/>
    </xf>
    <xf numFmtId="1" fontId="8" fillId="0" borderId="19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23" fillId="0" borderId="21" xfId="0" applyFont="1" applyBorder="1" applyAlignment="1">
      <alignment horizontal="right" vertical="center" wrapText="1"/>
    </xf>
    <xf numFmtId="0" fontId="22" fillId="0" borderId="22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167" fontId="19" fillId="9" borderId="18" xfId="0" applyNumberFormat="1" applyFont="1" applyFill="1" applyBorder="1" applyAlignment="1">
      <alignment horizontal="center" vertical="center" wrapText="1"/>
    </xf>
    <xf numFmtId="167" fontId="19" fillId="9" borderId="17" xfId="0" applyNumberFormat="1" applyFont="1" applyFill="1" applyBorder="1" applyAlignment="1">
      <alignment horizontal="center" vertical="center" wrapText="1"/>
    </xf>
    <xf numFmtId="1" fontId="21" fillId="0" borderId="18" xfId="3" applyNumberFormat="1" applyFont="1" applyFill="1" applyBorder="1" applyAlignment="1">
      <alignment horizontal="center" vertical="center" wrapText="1"/>
    </xf>
    <xf numFmtId="1" fontId="21" fillId="0" borderId="15" xfId="3" applyNumberFormat="1" applyFont="1" applyFill="1" applyBorder="1" applyAlignment="1">
      <alignment vertical="center" wrapText="1"/>
    </xf>
    <xf numFmtId="1" fontId="21" fillId="0" borderId="20" xfId="3" applyNumberFormat="1" applyFont="1" applyFill="1" applyBorder="1" applyAlignment="1">
      <alignment horizontal="center" vertical="center" wrapText="1"/>
    </xf>
    <xf numFmtId="0" fontId="23" fillId="10" borderId="15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" fontId="21" fillId="2" borderId="24" xfId="3" applyNumberFormat="1" applyFont="1" applyFill="1" applyBorder="1" applyAlignment="1">
      <alignment horizontal="center" vertical="center" wrapText="1"/>
    </xf>
    <xf numFmtId="1" fontId="21" fillId="2" borderId="20" xfId="3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1" fontId="8" fillId="0" borderId="17" xfId="0" applyNumberFormat="1" applyFont="1" applyBorder="1" applyAlignment="1">
      <alignment horizontal="center" vertical="center" wrapText="1"/>
    </xf>
    <xf numFmtId="9" fontId="24" fillId="0" borderId="15" xfId="0" applyNumberFormat="1" applyFont="1" applyBorder="1" applyAlignment="1">
      <alignment horizontal="center" vertical="center" wrapText="1"/>
    </xf>
    <xf numFmtId="1" fontId="24" fillId="0" borderId="15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horizontal="left" vertical="center" wrapText="1"/>
    </xf>
    <xf numFmtId="0" fontId="21" fillId="0" borderId="2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6" fillId="12" borderId="18" xfId="0" applyFont="1" applyFill="1" applyBorder="1" applyAlignment="1">
      <alignment horizontal="left" vertical="center" wrapText="1"/>
    </xf>
    <xf numFmtId="0" fontId="10" fillId="12" borderId="15" xfId="0" applyFont="1" applyFill="1" applyBorder="1" applyAlignment="1">
      <alignment horizontal="center" vertical="center" wrapText="1"/>
    </xf>
    <xf numFmtId="0" fontId="26" fillId="12" borderId="17" xfId="0" applyFont="1" applyFill="1" applyBorder="1" applyAlignment="1">
      <alignment horizontal="center" vertical="center" wrapText="1"/>
    </xf>
    <xf numFmtId="0" fontId="26" fillId="12" borderId="15" xfId="0" applyFont="1" applyFill="1" applyBorder="1" applyAlignment="1">
      <alignment horizontal="left" vertical="center" wrapText="1"/>
    </xf>
    <xf numFmtId="0" fontId="27" fillId="12" borderId="15" xfId="0" applyFont="1" applyFill="1" applyBorder="1" applyAlignment="1">
      <alignment horizontal="center" vertical="center" wrapText="1"/>
    </xf>
    <xf numFmtId="1" fontId="27" fillId="12" borderId="15" xfId="0" applyNumberFormat="1" applyFont="1" applyFill="1" applyBorder="1" applyAlignment="1">
      <alignment horizontal="center" vertical="center" wrapText="1"/>
    </xf>
    <xf numFmtId="0" fontId="27" fillId="12" borderId="13" xfId="0" applyFont="1" applyFill="1" applyBorder="1" applyAlignment="1">
      <alignment horizontal="center" vertical="center" wrapText="1"/>
    </xf>
    <xf numFmtId="0" fontId="26" fillId="12" borderId="14" xfId="0" applyFont="1" applyFill="1" applyBorder="1" applyAlignment="1">
      <alignment horizontal="left" vertical="center" wrapText="1"/>
    </xf>
    <xf numFmtId="0" fontId="26" fillId="12" borderId="15" xfId="0" applyFont="1" applyFill="1" applyBorder="1" applyAlignment="1">
      <alignment horizontal="center" wrapText="1"/>
    </xf>
    <xf numFmtId="0" fontId="26" fillId="12" borderId="15" xfId="0" applyFont="1" applyFill="1" applyBorder="1" applyAlignment="1">
      <alignment horizontal="left" wrapText="1"/>
    </xf>
    <xf numFmtId="1" fontId="26" fillId="12" borderId="15" xfId="0" applyNumberFormat="1" applyFont="1" applyFill="1" applyBorder="1" applyAlignment="1">
      <alignment horizontal="center" vertical="center" wrapText="1"/>
    </xf>
    <xf numFmtId="0" fontId="26" fillId="12" borderId="15" xfId="0" applyFont="1" applyFill="1" applyBorder="1" applyAlignment="1">
      <alignment horizontal="center" vertical="center" wrapText="1"/>
    </xf>
    <xf numFmtId="0" fontId="26" fillId="13" borderId="14" xfId="0" applyFont="1" applyFill="1" applyBorder="1" applyAlignment="1">
      <alignment horizontal="left" vertical="center" wrapText="1"/>
    </xf>
    <xf numFmtId="0" fontId="10" fillId="13" borderId="15" xfId="0" applyFont="1" applyFill="1" applyBorder="1" applyAlignment="1">
      <alignment horizontal="center" vertical="center" wrapText="1"/>
    </xf>
    <xf numFmtId="0" fontId="26" fillId="13" borderId="15" xfId="0" applyFont="1" applyFill="1" applyBorder="1" applyAlignment="1">
      <alignment horizontal="center" wrapText="1"/>
    </xf>
    <xf numFmtId="0" fontId="26" fillId="13" borderId="15" xfId="0" applyFont="1" applyFill="1" applyBorder="1" applyAlignment="1">
      <alignment horizontal="left" wrapText="1"/>
    </xf>
    <xf numFmtId="1" fontId="26" fillId="13" borderId="15" xfId="0" applyNumberFormat="1" applyFont="1" applyFill="1" applyBorder="1" applyAlignment="1">
      <alignment horizontal="center" vertical="center" wrapText="1"/>
    </xf>
    <xf numFmtId="0" fontId="26" fillId="13" borderId="15" xfId="0" applyFont="1" applyFill="1" applyBorder="1" applyAlignment="1">
      <alignment horizontal="center" vertical="center" wrapText="1"/>
    </xf>
    <xf numFmtId="0" fontId="26" fillId="14" borderId="14" xfId="0" applyFont="1" applyFill="1" applyBorder="1" applyAlignment="1">
      <alignment horizontal="left" vertical="center" wrapText="1"/>
    </xf>
    <xf numFmtId="0" fontId="10" fillId="14" borderId="15" xfId="0" applyFont="1" applyFill="1" applyBorder="1" applyAlignment="1">
      <alignment horizontal="center" vertical="center" wrapText="1"/>
    </xf>
    <xf numFmtId="0" fontId="26" fillId="14" borderId="15" xfId="0" applyFont="1" applyFill="1" applyBorder="1" applyAlignment="1">
      <alignment horizontal="center" wrapText="1"/>
    </xf>
    <xf numFmtId="0" fontId="26" fillId="14" borderId="15" xfId="0" applyFont="1" applyFill="1" applyBorder="1" applyAlignment="1">
      <alignment horizontal="left" wrapText="1"/>
    </xf>
    <xf numFmtId="1" fontId="26" fillId="14" borderId="15" xfId="0" applyNumberFormat="1" applyFont="1" applyFill="1" applyBorder="1" applyAlignment="1">
      <alignment horizontal="center" vertical="center" wrapText="1"/>
    </xf>
    <xf numFmtId="0" fontId="26" fillId="14" borderId="15" xfId="0" applyFont="1" applyFill="1" applyBorder="1" applyAlignment="1">
      <alignment horizontal="center" vertical="center" wrapText="1"/>
    </xf>
    <xf numFmtId="0" fontId="26" fillId="14" borderId="26" xfId="0" applyFont="1" applyFill="1" applyBorder="1" applyAlignment="1">
      <alignment horizontal="left" vertical="center" wrapText="1"/>
    </xf>
    <xf numFmtId="0" fontId="10" fillId="14" borderId="27" xfId="0" applyFont="1" applyFill="1" applyBorder="1" applyAlignment="1">
      <alignment horizontal="center" vertical="center" wrapText="1"/>
    </xf>
    <xf numFmtId="167" fontId="26" fillId="14" borderId="27" xfId="0" applyNumberFormat="1" applyFont="1" applyFill="1" applyBorder="1" applyAlignment="1">
      <alignment horizontal="center" vertical="center" wrapText="1"/>
    </xf>
    <xf numFmtId="0" fontId="26" fillId="14" borderId="27" xfId="0" applyFont="1" applyFill="1" applyBorder="1" applyAlignment="1">
      <alignment horizontal="left" vertical="center" wrapText="1"/>
    </xf>
    <xf numFmtId="0" fontId="27" fillId="14" borderId="27" xfId="0" applyFont="1" applyFill="1" applyBorder="1" applyAlignment="1">
      <alignment horizontal="center" vertical="center" wrapText="1"/>
    </xf>
    <xf numFmtId="1" fontId="27" fillId="14" borderId="27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2" borderId="0" xfId="0" applyFont="1" applyFill="1" applyAlignment="1">
      <alignment horizontal="right" vertical="center"/>
    </xf>
    <xf numFmtId="0" fontId="28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168" fontId="10" fillId="0" borderId="15" xfId="0" applyNumberFormat="1" applyFont="1" applyBorder="1" applyAlignment="1">
      <alignment horizontal="center" vertical="center" wrapText="1"/>
    </xf>
    <xf numFmtId="169" fontId="10" fillId="0" borderId="15" xfId="0" applyNumberFormat="1" applyFont="1" applyBorder="1" applyAlignment="1">
      <alignment horizontal="center" vertical="center" wrapText="1"/>
    </xf>
    <xf numFmtId="44" fontId="8" fillId="0" borderId="15" xfId="1" applyFont="1" applyBorder="1" applyAlignment="1" applyProtection="1">
      <alignment horizontal="center" vertical="center" wrapText="1"/>
    </xf>
    <xf numFmtId="170" fontId="8" fillId="0" borderId="15" xfId="0" applyNumberFormat="1" applyFont="1" applyBorder="1" applyAlignment="1">
      <alignment horizontal="left" vertical="center" wrapText="1"/>
    </xf>
    <xf numFmtId="168" fontId="10" fillId="0" borderId="19" xfId="0" applyNumberFormat="1" applyFont="1" applyBorder="1" applyAlignment="1">
      <alignment horizontal="center" vertical="center" wrapText="1"/>
    </xf>
    <xf numFmtId="169" fontId="10" fillId="0" borderId="19" xfId="0" applyNumberFormat="1" applyFont="1" applyBorder="1" applyAlignment="1">
      <alignment horizontal="center" vertical="center" wrapText="1"/>
    </xf>
    <xf numFmtId="44" fontId="8" fillId="0" borderId="19" xfId="1" applyFont="1" applyBorder="1" applyAlignment="1" applyProtection="1">
      <alignment horizontal="center" vertical="center" wrapText="1"/>
    </xf>
    <xf numFmtId="170" fontId="8" fillId="0" borderId="19" xfId="0" applyNumberFormat="1" applyFont="1" applyBorder="1" applyAlignment="1">
      <alignment horizontal="left" vertical="center" wrapText="1"/>
    </xf>
    <xf numFmtId="44" fontId="22" fillId="0" borderId="22" xfId="1" applyFont="1" applyFill="1" applyBorder="1" applyAlignment="1">
      <alignment horizontal="right" vertical="center" wrapText="1"/>
    </xf>
    <xf numFmtId="44" fontId="8" fillId="0" borderId="15" xfId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1" fontId="25" fillId="11" borderId="15" xfId="0" applyNumberFormat="1" applyFont="1" applyFill="1" applyBorder="1" applyAlignment="1">
      <alignment horizontal="center" vertical="center" wrapText="1"/>
    </xf>
    <xf numFmtId="166" fontId="25" fillId="4" borderId="15" xfId="0" applyNumberFormat="1" applyFont="1" applyFill="1" applyBorder="1" applyAlignment="1">
      <alignment horizontal="center" vertical="center" wrapText="1"/>
    </xf>
    <xf numFmtId="0" fontId="25" fillId="5" borderId="15" xfId="0" applyFont="1" applyFill="1" applyBorder="1" applyAlignment="1">
      <alignment horizontal="center" vertical="center" wrapText="1"/>
    </xf>
    <xf numFmtId="166" fontId="25" fillId="5" borderId="15" xfId="0" applyNumberFormat="1" applyFont="1" applyFill="1" applyBorder="1" applyAlignment="1">
      <alignment horizontal="center" vertical="center" wrapText="1"/>
    </xf>
    <xf numFmtId="44" fontId="27" fillId="12" borderId="13" xfId="0" applyNumberFormat="1" applyFont="1" applyFill="1" applyBorder="1" applyAlignment="1">
      <alignment horizontal="left" vertical="center" wrapText="1"/>
    </xf>
    <xf numFmtId="44" fontId="27" fillId="12" borderId="15" xfId="0" applyNumberFormat="1" applyFont="1" applyFill="1" applyBorder="1" applyAlignment="1">
      <alignment horizontal="left" vertical="center" wrapText="1"/>
    </xf>
    <xf numFmtId="9" fontId="26" fillId="12" borderId="15" xfId="0" applyNumberFormat="1" applyFont="1" applyFill="1" applyBorder="1" applyAlignment="1">
      <alignment horizontal="left" vertical="center" wrapText="1"/>
    </xf>
    <xf numFmtId="9" fontId="26" fillId="13" borderId="15" xfId="0" applyNumberFormat="1" applyFont="1" applyFill="1" applyBorder="1" applyAlignment="1">
      <alignment horizontal="left" vertical="center" wrapText="1"/>
    </xf>
    <xf numFmtId="9" fontId="26" fillId="14" borderId="15" xfId="0" applyNumberFormat="1" applyFont="1" applyFill="1" applyBorder="1" applyAlignment="1">
      <alignment horizontal="left" vertical="center" wrapText="1"/>
    </xf>
    <xf numFmtId="10" fontId="26" fillId="14" borderId="15" xfId="0" applyNumberFormat="1" applyFont="1" applyFill="1" applyBorder="1" applyAlignment="1">
      <alignment horizontal="left" vertical="center" wrapText="1"/>
    </xf>
    <xf numFmtId="171" fontId="26" fillId="14" borderId="15" xfId="0" applyNumberFormat="1" applyFont="1" applyFill="1" applyBorder="1" applyAlignment="1">
      <alignment horizontal="left" vertical="center" wrapText="1"/>
    </xf>
    <xf numFmtId="44" fontId="27" fillId="14" borderId="27" xfId="0" applyNumberFormat="1" applyFont="1" applyFill="1" applyBorder="1" applyAlignment="1">
      <alignment horizontal="left" vertical="center" wrapText="1"/>
    </xf>
    <xf numFmtId="172" fontId="7" fillId="2" borderId="0" xfId="0" applyNumberFormat="1" applyFont="1" applyFill="1" applyAlignment="1">
      <alignment vertical="center"/>
    </xf>
    <xf numFmtId="173" fontId="15" fillId="2" borderId="7" xfId="0" applyNumberFormat="1" applyFont="1" applyFill="1" applyBorder="1" applyAlignment="1">
      <alignment horizontal="center" vertical="center" wrapText="1"/>
    </xf>
    <xf numFmtId="167" fontId="17" fillId="8" borderId="28" xfId="0" applyNumberFormat="1" applyFont="1" applyFill="1" applyBorder="1" applyAlignment="1">
      <alignment horizontal="center" vertical="center" wrapText="1"/>
    </xf>
    <xf numFmtId="167" fontId="19" fillId="9" borderId="29" xfId="0" applyNumberFormat="1" applyFont="1" applyFill="1" applyBorder="1" applyAlignment="1">
      <alignment horizontal="center" vertical="center" wrapText="1"/>
    </xf>
    <xf numFmtId="44" fontId="8" fillId="2" borderId="0" xfId="0" applyNumberFormat="1" applyFont="1" applyFill="1" applyAlignment="1">
      <alignment vertical="center" wrapText="1"/>
    </xf>
    <xf numFmtId="166" fontId="23" fillId="15" borderId="33" xfId="0" applyNumberFormat="1" applyFont="1" applyFill="1" applyBorder="1" applyAlignment="1">
      <alignment horizontal="center" vertical="center" wrapText="1"/>
    </xf>
    <xf numFmtId="44" fontId="8" fillId="0" borderId="0" xfId="0" applyNumberFormat="1" applyFont="1" applyAlignment="1">
      <alignment vertical="center" wrapText="1"/>
    </xf>
    <xf numFmtId="0" fontId="22" fillId="0" borderId="34" xfId="0" applyFont="1" applyBorder="1" applyAlignment="1">
      <alignment vertical="center" wrapText="1"/>
    </xf>
    <xf numFmtId="0" fontId="9" fillId="0" borderId="0" xfId="0" applyFont="1" applyAlignment="1">
      <alignment horizontal="left" wrapText="1"/>
    </xf>
    <xf numFmtId="44" fontId="8" fillId="0" borderId="29" xfId="0" applyNumberFormat="1" applyFont="1" applyBorder="1" applyAlignment="1">
      <alignment horizontal="center" vertical="center" wrapText="1"/>
    </xf>
    <xf numFmtId="166" fontId="8" fillId="0" borderId="28" xfId="0" applyNumberFormat="1" applyFont="1" applyBorder="1" applyAlignment="1">
      <alignment horizontal="center" vertical="center" wrapText="1"/>
    </xf>
    <xf numFmtId="166" fontId="8" fillId="0" borderId="29" xfId="0" applyNumberFormat="1" applyFont="1" applyBorder="1" applyAlignment="1">
      <alignment horizontal="center" vertical="center" wrapText="1"/>
    </xf>
    <xf numFmtId="166" fontId="8" fillId="0" borderId="3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6" fontId="21" fillId="0" borderId="34" xfId="0" applyNumberFormat="1" applyFont="1" applyBorder="1" applyAlignment="1">
      <alignment vertical="center" wrapText="1"/>
    </xf>
    <xf numFmtId="170" fontId="8" fillId="0" borderId="2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6" fontId="26" fillId="12" borderId="29" xfId="0" applyNumberFormat="1" applyFont="1" applyFill="1" applyBorder="1" applyAlignment="1">
      <alignment horizontal="left" vertical="center" wrapText="1"/>
    </xf>
    <xf numFmtId="0" fontId="26" fillId="0" borderId="0" xfId="0" applyFont="1" applyAlignment="1">
      <alignment wrapText="1"/>
    </xf>
    <xf numFmtId="166" fontId="26" fillId="13" borderId="29" xfId="0" applyNumberFormat="1" applyFont="1" applyFill="1" applyBorder="1" applyAlignment="1">
      <alignment horizontal="left" vertical="center" wrapText="1"/>
    </xf>
    <xf numFmtId="166" fontId="26" fillId="14" borderId="29" xfId="0" applyNumberFormat="1" applyFont="1" applyFill="1" applyBorder="1" applyAlignment="1">
      <alignment horizontal="left" vertical="center" wrapText="1"/>
    </xf>
    <xf numFmtId="166" fontId="26" fillId="14" borderId="35" xfId="0" applyNumberFormat="1" applyFont="1" applyFill="1" applyBorder="1" applyAlignment="1">
      <alignment horizontal="left" vertical="center" wrapText="1"/>
    </xf>
    <xf numFmtId="0" fontId="30" fillId="8" borderId="13" xfId="0" applyFont="1" applyFill="1" applyBorder="1" applyAlignment="1">
      <alignment horizontal="center" vertical="center" wrapText="1"/>
    </xf>
    <xf numFmtId="166" fontId="19" fillId="9" borderId="29" xfId="0" applyNumberFormat="1" applyFont="1" applyFill="1" applyBorder="1" applyAlignment="1">
      <alignment horizontal="center" vertical="center" wrapText="1"/>
    </xf>
    <xf numFmtId="170" fontId="8" fillId="16" borderId="15" xfId="0" applyNumberFormat="1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1" fontId="9" fillId="0" borderId="22" xfId="0" applyNumberFormat="1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center" wrapText="1"/>
    </xf>
    <xf numFmtId="1" fontId="8" fillId="2" borderId="15" xfId="0" applyNumberFormat="1" applyFont="1" applyFill="1" applyBorder="1" applyAlignment="1">
      <alignment horizontal="center" vertical="center" wrapText="1"/>
    </xf>
    <xf numFmtId="9" fontId="8" fillId="2" borderId="15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vertical="center" wrapText="1"/>
    </xf>
    <xf numFmtId="166" fontId="23" fillId="0" borderId="22" xfId="0" applyNumberFormat="1" applyFont="1" applyBorder="1" applyAlignment="1">
      <alignment horizontal="center" vertical="center" wrapText="1"/>
    </xf>
    <xf numFmtId="170" fontId="23" fillId="0" borderId="22" xfId="0" applyNumberFormat="1" applyFont="1" applyBorder="1" applyAlignment="1">
      <alignment vertical="center" wrapText="1"/>
    </xf>
    <xf numFmtId="170" fontId="9" fillId="0" borderId="22" xfId="0" applyNumberFormat="1" applyFont="1" applyBorder="1" applyAlignment="1">
      <alignment horizontal="center" vertical="center" wrapText="1"/>
    </xf>
    <xf numFmtId="1" fontId="8" fillId="0" borderId="16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9" fontId="24" fillId="0" borderId="37" xfId="0" applyNumberFormat="1" applyFont="1" applyBorder="1" applyAlignment="1">
      <alignment horizontal="center" vertical="center" wrapText="1"/>
    </xf>
    <xf numFmtId="1" fontId="24" fillId="0" borderId="37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left" vertical="center" wrapText="1"/>
    </xf>
    <xf numFmtId="168" fontId="10" fillId="0" borderId="37" xfId="0" applyNumberFormat="1" applyFont="1" applyBorder="1" applyAlignment="1">
      <alignment horizontal="center" vertical="center" wrapText="1"/>
    </xf>
    <xf numFmtId="169" fontId="10" fillId="0" borderId="37" xfId="0" applyNumberFormat="1" applyFont="1" applyBorder="1" applyAlignment="1">
      <alignment horizontal="center" vertical="center" wrapText="1"/>
    </xf>
    <xf numFmtId="44" fontId="8" fillId="0" borderId="37" xfId="1" applyFont="1" applyBorder="1" applyAlignment="1" applyProtection="1">
      <alignment horizontal="center" vertical="center" wrapText="1"/>
    </xf>
    <xf numFmtId="170" fontId="8" fillId="0" borderId="37" xfId="0" applyNumberFormat="1" applyFont="1" applyBorder="1" applyAlignment="1">
      <alignment horizontal="left" vertical="center" wrapText="1"/>
    </xf>
    <xf numFmtId="170" fontId="8" fillId="0" borderId="38" xfId="0" applyNumberFormat="1" applyFont="1" applyBorder="1" applyAlignment="1">
      <alignment horizontal="left" vertical="center" wrapText="1"/>
    </xf>
    <xf numFmtId="166" fontId="8" fillId="0" borderId="31" xfId="0" applyNumberFormat="1" applyFont="1" applyBorder="1" applyAlignment="1">
      <alignment horizontal="center" vertical="center" wrapText="1"/>
    </xf>
    <xf numFmtId="0" fontId="32" fillId="2" borderId="0" xfId="0" applyFont="1" applyFill="1"/>
    <xf numFmtId="166" fontId="32" fillId="2" borderId="0" xfId="0" applyNumberFormat="1" applyFont="1" applyFill="1"/>
    <xf numFmtId="167" fontId="34" fillId="8" borderId="15" xfId="0" applyNumberFormat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6" fillId="0" borderId="37" xfId="0" applyFont="1" applyBorder="1" applyAlignment="1">
      <alignment vertical="center"/>
    </xf>
    <xf numFmtId="166" fontId="37" fillId="0" borderId="28" xfId="0" applyNumberFormat="1" applyFont="1" applyBorder="1"/>
    <xf numFmtId="0" fontId="35" fillId="0" borderId="14" xfId="0" applyFont="1" applyBorder="1" applyAlignment="1">
      <alignment horizontal="center" vertical="center"/>
    </xf>
    <xf numFmtId="0" fontId="36" fillId="0" borderId="19" xfId="0" applyFont="1" applyBorder="1" applyAlignment="1">
      <alignment vertical="center"/>
    </xf>
    <xf numFmtId="166" fontId="37" fillId="0" borderId="29" xfId="0" applyNumberFormat="1" applyFont="1" applyBorder="1"/>
    <xf numFmtId="166" fontId="38" fillId="0" borderId="39" xfId="4" applyNumberFormat="1" applyFont="1" applyFill="1" applyBorder="1" applyAlignment="1">
      <alignment vertical="center"/>
    </xf>
    <xf numFmtId="44" fontId="32" fillId="2" borderId="0" xfId="0" applyNumberFormat="1" applyFont="1" applyFill="1"/>
    <xf numFmtId="0" fontId="39" fillId="12" borderId="14" xfId="0" applyFont="1" applyFill="1" applyBorder="1" applyAlignment="1">
      <alignment horizontal="center" vertical="center"/>
    </xf>
    <xf numFmtId="9" fontId="39" fillId="12" borderId="14" xfId="2" applyFont="1" applyFill="1" applyBorder="1" applyAlignment="1">
      <alignment horizontal="center" vertical="center"/>
    </xf>
    <xf numFmtId="174" fontId="39" fillId="12" borderId="14" xfId="0" applyNumberFormat="1" applyFont="1" applyFill="1" applyBorder="1" applyAlignment="1">
      <alignment horizontal="left" vertical="center"/>
    </xf>
    <xf numFmtId="0" fontId="39" fillId="13" borderId="14" xfId="0" applyFont="1" applyFill="1" applyBorder="1" applyAlignment="1">
      <alignment horizontal="center" vertical="center"/>
    </xf>
    <xf numFmtId="171" fontId="39" fillId="13" borderId="14" xfId="2" applyNumberFormat="1" applyFont="1" applyFill="1" applyBorder="1" applyAlignment="1">
      <alignment horizontal="center" vertical="center"/>
    </xf>
    <xf numFmtId="174" fontId="39" fillId="13" borderId="14" xfId="0" applyNumberFormat="1" applyFont="1" applyFill="1" applyBorder="1" applyAlignment="1">
      <alignment horizontal="left" vertical="center"/>
    </xf>
    <xf numFmtId="0" fontId="39" fillId="14" borderId="14" xfId="0" applyFont="1" applyFill="1" applyBorder="1" applyAlignment="1">
      <alignment horizontal="center" vertical="center"/>
    </xf>
    <xf numFmtId="171" fontId="39" fillId="14" borderId="14" xfId="2" applyNumberFormat="1" applyFont="1" applyFill="1" applyBorder="1" applyAlignment="1">
      <alignment horizontal="center" vertical="center"/>
    </xf>
    <xf numFmtId="174" fontId="39" fillId="14" borderId="14" xfId="0" applyNumberFormat="1" applyFont="1" applyFill="1" applyBorder="1" applyAlignment="1">
      <alignment horizontal="left" vertical="center"/>
    </xf>
    <xf numFmtId="0" fontId="40" fillId="14" borderId="14" xfId="0" applyFont="1" applyFill="1" applyBorder="1" applyAlignment="1">
      <alignment horizontal="center" vertical="center"/>
    </xf>
    <xf numFmtId="171" fontId="40" fillId="14" borderId="14" xfId="2" applyNumberFormat="1" applyFont="1" applyFill="1" applyBorder="1" applyAlignment="1">
      <alignment horizontal="center" vertical="center"/>
    </xf>
    <xf numFmtId="174" fontId="40" fillId="14" borderId="14" xfId="0" applyNumberFormat="1" applyFont="1" applyFill="1" applyBorder="1" applyAlignment="1">
      <alignment horizontal="left" vertical="center"/>
    </xf>
    <xf numFmtId="172" fontId="32" fillId="2" borderId="9" xfId="0" applyNumberFormat="1" applyFont="1" applyFill="1" applyBorder="1"/>
    <xf numFmtId="0" fontId="32" fillId="2" borderId="9" xfId="0" applyFont="1" applyFill="1" applyBorder="1"/>
    <xf numFmtId="174" fontId="32" fillId="2" borderId="0" xfId="0" applyNumberFormat="1" applyFont="1" applyFill="1"/>
    <xf numFmtId="0" fontId="32" fillId="2" borderId="7" xfId="0" applyFont="1" applyFill="1" applyBorder="1"/>
    <xf numFmtId="0" fontId="32" fillId="2" borderId="10" xfId="0" applyFont="1" applyFill="1" applyBorder="1"/>
    <xf numFmtId="167" fontId="33" fillId="8" borderId="24" xfId="0" applyNumberFormat="1" applyFont="1" applyFill="1" applyBorder="1" applyAlignment="1">
      <alignment horizontal="center" vertical="center" wrapText="1"/>
    </xf>
    <xf numFmtId="167" fontId="33" fillId="8" borderId="23" xfId="0" applyNumberFormat="1" applyFont="1" applyFill="1" applyBorder="1" applyAlignment="1">
      <alignment horizontal="center" vertical="center" wrapText="1"/>
    </xf>
    <xf numFmtId="167" fontId="33" fillId="8" borderId="16" xfId="0" applyNumberFormat="1" applyFont="1" applyFill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/>
    </xf>
    <xf numFmtId="49" fontId="35" fillId="0" borderId="39" xfId="0" applyNumberFormat="1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wrapText="1"/>
    </xf>
    <xf numFmtId="3" fontId="12" fillId="2" borderId="0" xfId="0" applyNumberFormat="1" applyFont="1" applyFill="1" applyAlignment="1">
      <alignment horizontal="left"/>
    </xf>
    <xf numFmtId="0" fontId="15" fillId="2" borderId="0" xfId="0" applyFont="1" applyFill="1" applyAlignment="1">
      <alignment horizontal="left" vertical="center"/>
    </xf>
    <xf numFmtId="0" fontId="25" fillId="11" borderId="15" xfId="0" applyFont="1" applyFill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44" fontId="8" fillId="0" borderId="30" xfId="0" applyNumberFormat="1" applyFont="1" applyBorder="1" applyAlignment="1">
      <alignment horizontal="center" vertical="center" wrapText="1"/>
    </xf>
    <xf numFmtId="44" fontId="8" fillId="0" borderId="31" xfId="0" applyNumberFormat="1" applyFont="1" applyBorder="1" applyAlignment="1">
      <alignment horizontal="center" vertical="center" wrapText="1"/>
    </xf>
    <xf numFmtId="44" fontId="8" fillId="0" borderId="32" xfId="0" applyNumberFormat="1" applyFont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/>
    </xf>
    <xf numFmtId="0" fontId="4" fillId="3" borderId="5" xfId="7" applyFont="1" applyFill="1" applyBorder="1" applyAlignment="1">
      <alignment horizontal="center"/>
    </xf>
  </cellXfs>
  <cellStyles count="13">
    <cellStyle name="Currency" xfId="1" builtinId="4"/>
    <cellStyle name="Currency 2" xfId="4" xr:uid="{00000000-0005-0000-0000-000031000000}"/>
    <cellStyle name="Currency 3" xfId="5" xr:uid="{00000000-0005-0000-0000-000032000000}"/>
    <cellStyle name="Currency 4" xfId="6" xr:uid="{00000000-0005-0000-0000-000033000000}"/>
    <cellStyle name="Normal" xfId="0" builtinId="0"/>
    <cellStyle name="Normal 2" xfId="7" xr:uid="{00000000-0005-0000-0000-000034000000}"/>
    <cellStyle name="Normal 2 3" xfId="8" xr:uid="{00000000-0005-0000-0000-000035000000}"/>
    <cellStyle name="Normal 4" xfId="9" xr:uid="{00000000-0005-0000-0000-000036000000}"/>
    <cellStyle name="Note" xfId="3" builtinId="10"/>
    <cellStyle name="Percent" xfId="2" builtinId="5"/>
    <cellStyle name="Percent 2" xfId="10" xr:uid="{00000000-0005-0000-0000-000037000000}"/>
    <cellStyle name="Percent 3" xfId="11" xr:uid="{00000000-0005-0000-0000-000038000000}"/>
    <cellStyle name="Style 1" xfId="12" xr:uid="{00000000-0005-0000-0000-000039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'General Summary'!$B$3:$B$6</c:f>
              <c:strCache>
                <c:ptCount val="4"/>
                <c:pt idx="0">
                  <c:v>General Requirments</c:v>
                </c:pt>
                <c:pt idx="1">
                  <c:v>Electrical</c:v>
                </c:pt>
                <c:pt idx="2">
                  <c:v>Telecommunication</c:v>
                </c:pt>
                <c:pt idx="3">
                  <c:v>Electronic &amp; Safety Security</c:v>
                </c:pt>
              </c:strCache>
            </c:strRef>
          </c:cat>
          <c:val>
            <c:numRef>
              <c:f>'General Summary'!$C$3:$C$6</c:f>
              <c:numCache>
                <c:formatCode>_("$"* #,##0_);_("$"* \(#,##0\);_("$"* "-"??_);_(@_)</c:formatCode>
                <c:ptCount val="4"/>
                <c:pt idx="0">
                  <c:v>184000</c:v>
                </c:pt>
                <c:pt idx="1">
                  <c:v>2090736.68845995</c:v>
                </c:pt>
                <c:pt idx="2">
                  <c:v>295042.38639100001</c:v>
                </c:pt>
                <c:pt idx="3">
                  <c:v>251546.67405900001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F2-408A-A559-0FAB326947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cb594af-0e31-408f-9841-f6998af29eb4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'General Summary'!$B$20:$B$21</c:f>
              <c:strCache>
                <c:ptCount val="2"/>
                <c:pt idx="0">
                  <c:v>General Requirments</c:v>
                </c:pt>
                <c:pt idx="1">
                  <c:v>Pedestrain Gate Card Reader</c:v>
                </c:pt>
              </c:strCache>
            </c:strRef>
          </c:cat>
          <c:val>
            <c:numRef>
              <c:f>'General Summary'!$C$20:$C$21</c:f>
              <c:numCache>
                <c:formatCode>_("$"* #,##0_);_("$"* \(#,##0\);_("$"* "-"??_);_(@_)</c:formatCode>
                <c:ptCount val="2"/>
                <c:pt idx="0">
                  <c:v>1500</c:v>
                </c:pt>
                <c:pt idx="1">
                  <c:v>10338.2460995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7-4647-8DFD-86ED9BC463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cb594af-0e31-408f-9841-f6998af29eb4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1294130</xdr:colOff>
      <xdr:row>1</xdr:row>
      <xdr:rowOff>10795</xdr:rowOff>
    </xdr:from>
    <xdr:to>
      <xdr:col>14</xdr:col>
      <xdr:colOff>1905</xdr:colOff>
      <xdr:row>16</xdr:row>
      <xdr:rowOff>18415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31750</xdr:colOff>
      <xdr:row>18</xdr:row>
      <xdr:rowOff>10795</xdr:rowOff>
    </xdr:from>
    <xdr:to>
      <xdr:col>14</xdr:col>
      <xdr:colOff>1905</xdr:colOff>
      <xdr:row>30</xdr:row>
      <xdr:rowOff>232410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9504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00275" y="0"/>
          <a:ext cx="184150" cy="294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9504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43075" y="0"/>
          <a:ext cx="184150" cy="294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950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200275" y="0"/>
          <a:ext cx="184150" cy="294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9504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743075" y="0"/>
          <a:ext cx="184150" cy="294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N40"/>
  <sheetViews>
    <sheetView view="pageBreakPreview" zoomScale="70" zoomScaleNormal="100" workbookViewId="0">
      <selection activeCell="C35" sqref="C35"/>
    </sheetView>
  </sheetViews>
  <sheetFormatPr defaultColWidth="9" defaultRowHeight="13.8"/>
  <cols>
    <col min="1" max="1" width="42.19921875" style="204" customWidth="1"/>
    <col min="2" max="2" width="63.09765625" style="204" customWidth="1"/>
    <col min="3" max="3" width="17.5" style="205" customWidth="1"/>
    <col min="4" max="16384" width="9" style="204"/>
  </cols>
  <sheetData>
    <row r="1" spans="1:14" ht="21">
      <c r="A1" s="232" t="s">
        <v>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4"/>
    </row>
    <row r="2" spans="1:14" ht="36">
      <c r="A2" s="206" t="s">
        <v>1</v>
      </c>
      <c r="B2" s="206" t="s">
        <v>2</v>
      </c>
      <c r="C2" s="206" t="s">
        <v>3</v>
      </c>
      <c r="N2" s="230"/>
    </row>
    <row r="3" spans="1:14" ht="15.6">
      <c r="A3" s="207">
        <v>1000</v>
      </c>
      <c r="B3" s="208" t="s">
        <v>4</v>
      </c>
      <c r="C3" s="209">
        <f>'Base Bid'!Q15</f>
        <v>184000</v>
      </c>
      <c r="N3" s="230"/>
    </row>
    <row r="4" spans="1:14" ht="15.6">
      <c r="A4" s="210">
        <v>26000</v>
      </c>
      <c r="B4" s="211" t="s">
        <v>5</v>
      </c>
      <c r="C4" s="212">
        <f>'Base Bid'!Q277</f>
        <v>2090736.68845995</v>
      </c>
      <c r="N4" s="230"/>
    </row>
    <row r="5" spans="1:14" ht="15.6">
      <c r="A5" s="210">
        <v>26000</v>
      </c>
      <c r="B5" s="211" t="s">
        <v>6</v>
      </c>
      <c r="C5" s="212">
        <f>'Base Bid'!Q376</f>
        <v>295042.38639100001</v>
      </c>
      <c r="N5" s="230"/>
    </row>
    <row r="6" spans="1:14" ht="15.6">
      <c r="A6" s="210">
        <v>26000</v>
      </c>
      <c r="B6" s="211" t="s">
        <v>7</v>
      </c>
      <c r="C6" s="212">
        <f>'Base Bid'!Q453</f>
        <v>251546.67405900001</v>
      </c>
      <c r="N6" s="230"/>
    </row>
    <row r="7" spans="1:14" ht="15.6">
      <c r="A7" s="235" t="s">
        <v>8</v>
      </c>
      <c r="B7" s="235"/>
      <c r="C7" s="213">
        <f>SUM(C3:C6)</f>
        <v>2821325.7489099498</v>
      </c>
      <c r="E7" s="214"/>
      <c r="N7" s="230"/>
    </row>
    <row r="8" spans="1:14" ht="15.6">
      <c r="A8" s="236"/>
      <c r="B8" s="236"/>
      <c r="C8" s="236"/>
      <c r="N8" s="230"/>
    </row>
    <row r="9" spans="1:14" ht="15.6">
      <c r="A9" s="215" t="s">
        <v>9</v>
      </c>
      <c r="B9" s="216">
        <v>0.05</v>
      </c>
      <c r="C9" s="217">
        <f>C7*B9</f>
        <v>141066.28744549799</v>
      </c>
      <c r="D9" s="214"/>
      <c r="E9" s="214"/>
      <c r="N9" s="230"/>
    </row>
    <row r="10" spans="1:14" ht="15.6">
      <c r="A10" s="215" t="s">
        <v>10</v>
      </c>
      <c r="B10" s="216">
        <v>0.2</v>
      </c>
      <c r="C10" s="217">
        <f>B10*SUM('Base Bid'!O17:O454)</f>
        <v>312193.46193559002</v>
      </c>
      <c r="D10" s="214"/>
      <c r="E10" s="214"/>
      <c r="N10" s="230"/>
    </row>
    <row r="11" spans="1:14" ht="15.6">
      <c r="A11" s="215" t="s">
        <v>11</v>
      </c>
      <c r="B11" s="216">
        <v>0.31</v>
      </c>
      <c r="C11" s="217">
        <f>B11*SUM('Base Bid'!M17:M454)</f>
        <v>333671.11616192001</v>
      </c>
      <c r="N11" s="230"/>
    </row>
    <row r="12" spans="1:14" ht="15.6">
      <c r="A12" s="215" t="s">
        <v>12</v>
      </c>
      <c r="B12" s="216">
        <v>0.1</v>
      </c>
      <c r="C12" s="217">
        <f>C7*B12</f>
        <v>282132.57489099499</v>
      </c>
      <c r="N12" s="230"/>
    </row>
    <row r="13" spans="1:14" ht="15.6">
      <c r="A13" s="215" t="s">
        <v>13</v>
      </c>
      <c r="B13" s="216">
        <v>0.1</v>
      </c>
      <c r="C13" s="217">
        <f>C7*B13</f>
        <v>282132.57489099499</v>
      </c>
      <c r="N13" s="230"/>
    </row>
    <row r="14" spans="1:14" ht="15.6">
      <c r="A14" s="218" t="s">
        <v>14</v>
      </c>
      <c r="B14" s="219">
        <v>9.1999999999999998E-2</v>
      </c>
      <c r="C14" s="220">
        <f>C7*B14</f>
        <v>259561.96889971499</v>
      </c>
      <c r="N14" s="230"/>
    </row>
    <row r="15" spans="1:14" ht="15.6">
      <c r="A15" s="221" t="s">
        <v>15</v>
      </c>
      <c r="B15" s="222">
        <v>1.4999999999999999E-2</v>
      </c>
      <c r="C15" s="223">
        <f>C7*B15</f>
        <v>42319.886233649297</v>
      </c>
      <c r="N15" s="230"/>
    </row>
    <row r="16" spans="1:14" ht="17.399999999999999">
      <c r="A16" s="224" t="s">
        <v>16</v>
      </c>
      <c r="B16" s="225"/>
      <c r="C16" s="226">
        <f>SUM(C7,C9:C15)</f>
        <v>4474403.6193683101</v>
      </c>
      <c r="D16" s="227"/>
      <c r="E16" s="228"/>
      <c r="F16" s="228"/>
      <c r="G16" s="228"/>
      <c r="H16" s="228"/>
      <c r="I16" s="228"/>
      <c r="J16" s="228"/>
      <c r="K16" s="228"/>
      <c r="L16" s="228"/>
      <c r="M16" s="228"/>
      <c r="N16" s="231"/>
    </row>
    <row r="18" spans="1:14" ht="21">
      <c r="A18" s="232" t="s">
        <v>17</v>
      </c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4"/>
    </row>
    <row r="19" spans="1:14" ht="36">
      <c r="A19" s="206" t="s">
        <v>1</v>
      </c>
      <c r="B19" s="206" t="s">
        <v>2</v>
      </c>
      <c r="C19" s="206" t="s">
        <v>3</v>
      </c>
      <c r="N19" s="230"/>
    </row>
    <row r="20" spans="1:14" ht="15.6">
      <c r="A20" s="207">
        <v>1000</v>
      </c>
      <c r="B20" s="208" t="s">
        <v>4</v>
      </c>
      <c r="C20" s="209">
        <f>'Add Alternate'!Q15</f>
        <v>1500</v>
      </c>
      <c r="N20" s="230"/>
    </row>
    <row r="21" spans="1:14" ht="15.6">
      <c r="A21" s="210">
        <v>26000</v>
      </c>
      <c r="B21" s="211" t="s">
        <v>18</v>
      </c>
      <c r="C21" s="212">
        <f>'Add Alternate'!Q46</f>
        <v>10338.2460995</v>
      </c>
      <c r="N21" s="230"/>
    </row>
    <row r="22" spans="1:14" ht="15.6">
      <c r="A22" s="235" t="s">
        <v>8</v>
      </c>
      <c r="B22" s="235"/>
      <c r="C22" s="213">
        <f>SUM(C20:C21)</f>
        <v>11838.2460995</v>
      </c>
      <c r="E22" s="214"/>
      <c r="N22" s="230"/>
    </row>
    <row r="23" spans="1:14" ht="15.6">
      <c r="A23" s="236"/>
      <c r="B23" s="236"/>
      <c r="C23" s="236"/>
      <c r="N23" s="230"/>
    </row>
    <row r="24" spans="1:14" ht="15.6">
      <c r="A24" s="215" t="s">
        <v>9</v>
      </c>
      <c r="B24" s="216">
        <v>0.05</v>
      </c>
      <c r="C24" s="217">
        <f>C22*B24</f>
        <v>591.91230497499998</v>
      </c>
      <c r="D24" s="214"/>
      <c r="E24" s="214"/>
      <c r="N24" s="230"/>
    </row>
    <row r="25" spans="1:14" ht="15.6">
      <c r="A25" s="215" t="s">
        <v>10</v>
      </c>
      <c r="B25" s="216">
        <v>0.2</v>
      </c>
      <c r="C25" s="217">
        <f>B25*SUM('Add Alternate'!O17:O46)</f>
        <v>639.92929670000001</v>
      </c>
      <c r="D25" s="214"/>
      <c r="E25" s="214"/>
      <c r="N25" s="230"/>
    </row>
    <row r="26" spans="1:14" ht="15.6">
      <c r="A26" s="215" t="s">
        <v>11</v>
      </c>
      <c r="B26" s="216">
        <v>0.31</v>
      </c>
      <c r="C26" s="217">
        <f>B26*SUM('Add Alternate'!M17:M46)</f>
        <v>2212.96588096</v>
      </c>
      <c r="N26" s="230"/>
    </row>
    <row r="27" spans="1:14" ht="15.6">
      <c r="A27" s="215" t="s">
        <v>12</v>
      </c>
      <c r="B27" s="216">
        <v>0.1</v>
      </c>
      <c r="C27" s="217">
        <f>C22*B27</f>
        <v>1183.82460995</v>
      </c>
      <c r="N27" s="230"/>
    </row>
    <row r="28" spans="1:14" ht="15.6">
      <c r="A28" s="215" t="s">
        <v>13</v>
      </c>
      <c r="B28" s="216">
        <v>0.1</v>
      </c>
      <c r="C28" s="217">
        <f>C22*B28</f>
        <v>1183.82460995</v>
      </c>
      <c r="N28" s="230"/>
    </row>
    <row r="29" spans="1:14" ht="15.6">
      <c r="A29" s="218" t="s">
        <v>14</v>
      </c>
      <c r="B29" s="219">
        <v>9.1999999999999998E-2</v>
      </c>
      <c r="C29" s="220">
        <f>C22*B29</f>
        <v>1089.118641154</v>
      </c>
      <c r="N29" s="230"/>
    </row>
    <row r="30" spans="1:14" ht="15.6">
      <c r="A30" s="221" t="s">
        <v>15</v>
      </c>
      <c r="B30" s="222">
        <v>1.4999999999999999E-2</v>
      </c>
      <c r="C30" s="223">
        <f>C22*B30</f>
        <v>177.57369149249999</v>
      </c>
      <c r="N30" s="230"/>
    </row>
    <row r="31" spans="1:14" ht="17.399999999999999">
      <c r="A31" s="224" t="s">
        <v>16</v>
      </c>
      <c r="B31" s="225"/>
      <c r="C31" s="226">
        <f>SUM(C22,C24:C30)</f>
        <v>18917.395134681501</v>
      </c>
      <c r="D31" s="227"/>
      <c r="E31" s="228"/>
      <c r="F31" s="228"/>
      <c r="G31" s="228"/>
      <c r="H31" s="228"/>
      <c r="I31" s="228"/>
      <c r="J31" s="228"/>
      <c r="K31" s="228"/>
      <c r="L31" s="228"/>
      <c r="M31" s="228"/>
      <c r="N31" s="231"/>
    </row>
    <row r="40" spans="2:2">
      <c r="B40" s="229"/>
    </row>
  </sheetData>
  <mergeCells count="6">
    <mergeCell ref="A23:C23"/>
    <mergeCell ref="A1:N1"/>
    <mergeCell ref="A7:B7"/>
    <mergeCell ref="A8:C8"/>
    <mergeCell ref="A18:N18"/>
    <mergeCell ref="A22:B22"/>
  </mergeCells>
  <pageMargins left="0.7" right="0.7" top="0.75" bottom="0.75" header="0.3" footer="0.3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J467"/>
  <sheetViews>
    <sheetView showGridLines="0" zoomScale="55" zoomScaleNormal="55" zoomScaleSheetLayoutView="85" workbookViewId="0">
      <pane ySplit="6" topLeftCell="A7" activePane="bottomLeft" state="frozen"/>
      <selection pane="bottomLeft" activeCell="D6" sqref="D6"/>
    </sheetView>
  </sheetViews>
  <sheetFormatPr defaultColWidth="9" defaultRowHeight="15.6"/>
  <cols>
    <col min="1" max="1" width="4.09765625" style="32" customWidth="1"/>
    <col min="2" max="2" width="9.19921875" style="32" customWidth="1"/>
    <col min="3" max="3" width="9.5" style="32" customWidth="1"/>
    <col min="4" max="4" width="75.09765625" style="33" customWidth="1"/>
    <col min="5" max="6" width="11.5" style="34" customWidth="1"/>
    <col min="7" max="7" width="14" style="34" customWidth="1"/>
    <col min="8" max="8" width="10.5" style="32" customWidth="1"/>
    <col min="9" max="10" width="14" style="34" customWidth="1"/>
    <col min="11" max="12" width="12.5" style="32" customWidth="1"/>
    <col min="13" max="13" width="14.5" style="32" customWidth="1"/>
    <col min="14" max="14" width="19.09765625" style="32" customWidth="1"/>
    <col min="15" max="15" width="14.59765625" style="32" customWidth="1"/>
    <col min="16" max="16" width="12.5" style="32" customWidth="1"/>
    <col min="17" max="17" width="15.19921875" style="33" customWidth="1"/>
    <col min="18" max="16384" width="9" style="32"/>
  </cols>
  <sheetData>
    <row r="1" spans="1:18" s="26" customFormat="1" ht="15" hidden="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18">
      <c r="A2" s="237" t="s">
        <v>19</v>
      </c>
      <c r="B2" s="238"/>
      <c r="C2" s="238"/>
      <c r="D2" s="239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40"/>
    </row>
    <row r="3" spans="1:18" ht="17.399999999999999" customHeight="1">
      <c r="A3" s="37"/>
      <c r="B3" s="241" t="s">
        <v>20</v>
      </c>
      <c r="C3" s="241"/>
      <c r="D3" s="33" t="s">
        <v>458</v>
      </c>
      <c r="E3" s="38"/>
      <c r="F3" s="38"/>
      <c r="G3" s="39"/>
      <c r="H3" s="39"/>
      <c r="I3" s="39"/>
      <c r="J3" s="39"/>
      <c r="K3" s="39"/>
      <c r="L3" s="39"/>
      <c r="M3" s="39"/>
      <c r="N3" s="39"/>
      <c r="O3" s="126"/>
      <c r="P3" s="127"/>
      <c r="Q3" s="155"/>
    </row>
    <row r="4" spans="1:18" ht="18" customHeight="1">
      <c r="A4" s="37"/>
      <c r="B4" s="242" t="s">
        <v>21</v>
      </c>
      <c r="C4" s="242"/>
      <c r="D4" s="33" t="s">
        <v>459</v>
      </c>
      <c r="E4" s="40"/>
      <c r="F4" s="40"/>
      <c r="G4" s="40"/>
      <c r="H4" s="41"/>
      <c r="I4" s="40"/>
      <c r="J4" s="40"/>
      <c r="K4" s="39"/>
      <c r="L4" s="39"/>
      <c r="M4" s="39"/>
      <c r="N4" s="39"/>
      <c r="O4" s="126"/>
      <c r="P4" s="127"/>
      <c r="Q4" s="155"/>
    </row>
    <row r="5" spans="1:18" ht="24" customHeight="1">
      <c r="A5" s="37"/>
      <c r="B5" s="243" t="s">
        <v>22</v>
      </c>
      <c r="C5" s="243"/>
      <c r="D5" s="33" t="s">
        <v>5</v>
      </c>
      <c r="E5" s="42"/>
      <c r="F5" s="40"/>
      <c r="G5" s="40"/>
      <c r="H5" s="42"/>
      <c r="I5" s="40"/>
      <c r="J5" s="40"/>
      <c r="K5" s="128"/>
      <c r="L5" s="128"/>
      <c r="M5" s="128"/>
      <c r="N5" s="128"/>
      <c r="O5" s="129"/>
      <c r="P5" s="130"/>
      <c r="Q5" s="155"/>
    </row>
    <row r="6" spans="1:18" s="27" customFormat="1" ht="46.8">
      <c r="A6" s="43" t="s">
        <v>23</v>
      </c>
      <c r="B6" s="44" t="s">
        <v>24</v>
      </c>
      <c r="C6" s="44" t="s">
        <v>25</v>
      </c>
      <c r="D6" s="176" t="s">
        <v>2</v>
      </c>
      <c r="E6" s="44" t="s">
        <v>26</v>
      </c>
      <c r="F6" s="44" t="s">
        <v>27</v>
      </c>
      <c r="G6" s="44" t="s">
        <v>28</v>
      </c>
      <c r="H6" s="44" t="s">
        <v>29</v>
      </c>
      <c r="I6" s="44" t="s">
        <v>30</v>
      </c>
      <c r="J6" s="44" t="s">
        <v>31</v>
      </c>
      <c r="K6" s="44" t="s">
        <v>32</v>
      </c>
      <c r="L6" s="44" t="s">
        <v>33</v>
      </c>
      <c r="M6" s="44" t="s">
        <v>34</v>
      </c>
      <c r="N6" s="44" t="s">
        <v>35</v>
      </c>
      <c r="O6" s="44" t="s">
        <v>36</v>
      </c>
      <c r="P6" s="44" t="s">
        <v>37</v>
      </c>
      <c r="Q6" s="156" t="s">
        <v>38</v>
      </c>
    </row>
    <row r="7" spans="1:18" s="28" customFormat="1">
      <c r="A7" s="46"/>
      <c r="B7" s="47"/>
      <c r="C7" s="48">
        <v>1</v>
      </c>
      <c r="D7" s="49" t="s">
        <v>39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157"/>
    </row>
    <row r="8" spans="1:18" s="29" customFormat="1">
      <c r="A8" s="50">
        <f>IF(F8&lt;&gt;"",1+MAX($A$2:A7),"")</f>
        <v>1</v>
      </c>
      <c r="B8" s="51"/>
      <c r="C8" s="51"/>
      <c r="D8" s="52" t="s">
        <v>40</v>
      </c>
      <c r="E8" s="53">
        <v>1</v>
      </c>
      <c r="F8" s="54">
        <v>0</v>
      </c>
      <c r="G8" s="55">
        <f t="shared" ref="G8:G14" si="0">(F8*E8)+E8</f>
        <v>1</v>
      </c>
      <c r="H8" s="53" t="s">
        <v>41</v>
      </c>
      <c r="I8" s="131">
        <v>0</v>
      </c>
      <c r="J8" s="132">
        <f t="shared" ref="J8:J14" si="1">+I8*G8</f>
        <v>0</v>
      </c>
      <c r="K8" s="133">
        <v>0</v>
      </c>
      <c r="L8" s="134">
        <f t="shared" ref="L8:L14" si="2">I8*K8</f>
        <v>0</v>
      </c>
      <c r="M8" s="134">
        <f t="shared" ref="M8:M14" si="3">K8*J8</f>
        <v>0</v>
      </c>
      <c r="N8" s="134">
        <v>0</v>
      </c>
      <c r="O8" s="134">
        <f t="shared" ref="O8:O14" si="4">N8*G8</f>
        <v>0</v>
      </c>
      <c r="P8" s="134">
        <f>(I8*K8)+N8</f>
        <v>0</v>
      </c>
      <c r="Q8" s="246">
        <v>184000</v>
      </c>
      <c r="R8" s="158"/>
    </row>
    <row r="9" spans="1:18" s="29" customFormat="1">
      <c r="A9" s="56">
        <f>IF(F9&lt;&gt;"",1+MAX($A$2:A8),"")</f>
        <v>2</v>
      </c>
      <c r="B9" s="57"/>
      <c r="C9" s="57"/>
      <c r="D9" s="58" t="s">
        <v>42</v>
      </c>
      <c r="E9" s="59">
        <v>1</v>
      </c>
      <c r="F9" s="60">
        <v>0</v>
      </c>
      <c r="G9" s="61">
        <f t="shared" si="0"/>
        <v>1</v>
      </c>
      <c r="H9" s="59" t="s">
        <v>41</v>
      </c>
      <c r="I9" s="131">
        <v>0</v>
      </c>
      <c r="J9" s="132">
        <f t="shared" si="1"/>
        <v>0</v>
      </c>
      <c r="K9" s="133">
        <v>0</v>
      </c>
      <c r="L9" s="134">
        <f t="shared" si="2"/>
        <v>0</v>
      </c>
      <c r="M9" s="134">
        <f t="shared" si="3"/>
        <v>0</v>
      </c>
      <c r="N9" s="134">
        <v>0</v>
      </c>
      <c r="O9" s="134">
        <f t="shared" si="4"/>
        <v>0</v>
      </c>
      <c r="P9" s="134">
        <f t="shared" ref="P9:P14" si="5">(I9*K9)+N9</f>
        <v>0</v>
      </c>
      <c r="Q9" s="247"/>
      <c r="R9" s="158"/>
    </row>
    <row r="10" spans="1:18" s="29" customFormat="1">
      <c r="A10" s="56">
        <f>IF(F10&lt;&gt;"",1+MAX($A$2:A9),"")</f>
        <v>3</v>
      </c>
      <c r="B10" s="57"/>
      <c r="C10" s="57"/>
      <c r="D10" s="58" t="s">
        <v>43</v>
      </c>
      <c r="E10" s="59">
        <v>1</v>
      </c>
      <c r="F10" s="60">
        <v>0</v>
      </c>
      <c r="G10" s="61">
        <f t="shared" si="0"/>
        <v>1</v>
      </c>
      <c r="H10" s="59" t="s">
        <v>41</v>
      </c>
      <c r="I10" s="131">
        <v>0</v>
      </c>
      <c r="J10" s="132">
        <f t="shared" si="1"/>
        <v>0</v>
      </c>
      <c r="K10" s="133">
        <v>0</v>
      </c>
      <c r="L10" s="134">
        <f t="shared" si="2"/>
        <v>0</v>
      </c>
      <c r="M10" s="134">
        <f t="shared" si="3"/>
        <v>0</v>
      </c>
      <c r="N10" s="134">
        <v>0</v>
      </c>
      <c r="O10" s="134">
        <f t="shared" si="4"/>
        <v>0</v>
      </c>
      <c r="P10" s="134">
        <f t="shared" si="5"/>
        <v>0</v>
      </c>
      <c r="Q10" s="247"/>
      <c r="R10" s="158"/>
    </row>
    <row r="11" spans="1:18" s="29" customFormat="1">
      <c r="A11" s="56">
        <f>IF(F11&lt;&gt;"",1+MAX($A$2:A10),"")</f>
        <v>4</v>
      </c>
      <c r="B11" s="57"/>
      <c r="C11" s="57"/>
      <c r="D11" s="58" t="s">
        <v>44</v>
      </c>
      <c r="E11" s="59">
        <v>1</v>
      </c>
      <c r="F11" s="60">
        <v>0</v>
      </c>
      <c r="G11" s="61">
        <f t="shared" si="0"/>
        <v>1</v>
      </c>
      <c r="H11" s="59" t="s">
        <v>41</v>
      </c>
      <c r="I11" s="131">
        <v>0</v>
      </c>
      <c r="J11" s="132">
        <f t="shared" si="1"/>
        <v>0</v>
      </c>
      <c r="K11" s="133">
        <v>0</v>
      </c>
      <c r="L11" s="134">
        <f t="shared" si="2"/>
        <v>0</v>
      </c>
      <c r="M11" s="134">
        <f t="shared" si="3"/>
        <v>0</v>
      </c>
      <c r="N11" s="134">
        <v>0</v>
      </c>
      <c r="O11" s="134">
        <f t="shared" si="4"/>
        <v>0</v>
      </c>
      <c r="P11" s="134">
        <f t="shared" si="5"/>
        <v>0</v>
      </c>
      <c r="Q11" s="247"/>
      <c r="R11" s="158"/>
    </row>
    <row r="12" spans="1:18" s="29" customFormat="1">
      <c r="A12" s="62">
        <f>IF(F12&lt;&gt;"",1+MAX($A$2:A11),"")</f>
        <v>5</v>
      </c>
      <c r="B12" s="63"/>
      <c r="C12" s="57"/>
      <c r="D12" s="58" t="s">
        <v>45</v>
      </c>
      <c r="E12" s="59">
        <v>1</v>
      </c>
      <c r="F12" s="60">
        <v>0</v>
      </c>
      <c r="G12" s="61">
        <f t="shared" si="0"/>
        <v>1</v>
      </c>
      <c r="H12" s="59" t="s">
        <v>41</v>
      </c>
      <c r="I12" s="131">
        <v>0</v>
      </c>
      <c r="J12" s="132">
        <f t="shared" si="1"/>
        <v>0</v>
      </c>
      <c r="K12" s="133">
        <v>0</v>
      </c>
      <c r="L12" s="134">
        <f t="shared" si="2"/>
        <v>0</v>
      </c>
      <c r="M12" s="134">
        <f t="shared" si="3"/>
        <v>0</v>
      </c>
      <c r="N12" s="134">
        <v>0</v>
      </c>
      <c r="O12" s="134">
        <f t="shared" si="4"/>
        <v>0</v>
      </c>
      <c r="P12" s="134">
        <f t="shared" si="5"/>
        <v>0</v>
      </c>
      <c r="Q12" s="247"/>
      <c r="R12" s="158"/>
    </row>
    <row r="13" spans="1:18" s="29" customFormat="1">
      <c r="A13" s="62">
        <f>IF(F13&lt;&gt;"",1+MAX($A$2:A12),"")</f>
        <v>6</v>
      </c>
      <c r="B13" s="63"/>
      <c r="C13" s="57"/>
      <c r="D13" s="58" t="s">
        <v>46</v>
      </c>
      <c r="E13" s="59">
        <v>1</v>
      </c>
      <c r="F13" s="60">
        <v>0</v>
      </c>
      <c r="G13" s="61">
        <f t="shared" si="0"/>
        <v>1</v>
      </c>
      <c r="H13" s="59" t="s">
        <v>41</v>
      </c>
      <c r="I13" s="131">
        <v>0</v>
      </c>
      <c r="J13" s="132">
        <f t="shared" si="1"/>
        <v>0</v>
      </c>
      <c r="K13" s="133">
        <v>0</v>
      </c>
      <c r="L13" s="134">
        <f t="shared" si="2"/>
        <v>0</v>
      </c>
      <c r="M13" s="134">
        <f t="shared" si="3"/>
        <v>0</v>
      </c>
      <c r="N13" s="134">
        <v>0</v>
      </c>
      <c r="O13" s="134">
        <f t="shared" si="4"/>
        <v>0</v>
      </c>
      <c r="P13" s="134">
        <f t="shared" si="5"/>
        <v>0</v>
      </c>
      <c r="Q13" s="247"/>
      <c r="R13" s="158"/>
    </row>
    <row r="14" spans="1:18" s="29" customFormat="1">
      <c r="A14" s="62">
        <f>IF(F14&lt;&gt;"",1+MAX($A$2:A13),"")</f>
        <v>7</v>
      </c>
      <c r="B14" s="63"/>
      <c r="C14" s="57"/>
      <c r="D14" s="64" t="s">
        <v>47</v>
      </c>
      <c r="E14" s="65">
        <v>1</v>
      </c>
      <c r="F14" s="66">
        <v>0</v>
      </c>
      <c r="G14" s="67">
        <f t="shared" si="0"/>
        <v>1</v>
      </c>
      <c r="H14" s="65" t="s">
        <v>41</v>
      </c>
      <c r="I14" s="135">
        <v>0</v>
      </c>
      <c r="J14" s="136">
        <f t="shared" si="1"/>
        <v>0</v>
      </c>
      <c r="K14" s="137">
        <v>0</v>
      </c>
      <c r="L14" s="138">
        <f t="shared" si="2"/>
        <v>0</v>
      </c>
      <c r="M14" s="138">
        <f t="shared" si="3"/>
        <v>0</v>
      </c>
      <c r="N14" s="138">
        <v>0</v>
      </c>
      <c r="O14" s="138">
        <f t="shared" si="4"/>
        <v>0</v>
      </c>
      <c r="P14" s="134">
        <f t="shared" si="5"/>
        <v>0</v>
      </c>
      <c r="Q14" s="248"/>
      <c r="R14" s="158"/>
    </row>
    <row r="15" spans="1:18" s="27" customFormat="1">
      <c r="A15" s="68" t="str">
        <f>IF(F15&lt;&gt;"",1+MAX($A$2:A14),"")</f>
        <v/>
      </c>
      <c r="B15" s="69"/>
      <c r="C15" s="70"/>
      <c r="D15" s="71" t="s">
        <v>48</v>
      </c>
      <c r="E15" s="72"/>
      <c r="F15" s="72"/>
      <c r="G15" s="72"/>
      <c r="H15" s="72"/>
      <c r="I15" s="72"/>
      <c r="J15" s="72"/>
      <c r="K15" s="139"/>
      <c r="L15" s="139"/>
      <c r="M15" s="139"/>
      <c r="N15" s="139"/>
      <c r="O15" s="139"/>
      <c r="P15" s="139"/>
      <c r="Q15" s="159">
        <f>SUM(Q8:Q14)</f>
        <v>184000</v>
      </c>
      <c r="R15" s="160"/>
    </row>
    <row r="16" spans="1:18" s="27" customFormat="1">
      <c r="A16" s="68" t="str">
        <f>IF(F16&lt;&gt;"",1+MAX($A$2:A15),"")</f>
        <v/>
      </c>
      <c r="B16" s="69"/>
      <c r="C16" s="70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161"/>
      <c r="R16" s="160"/>
    </row>
    <row r="17" spans="1:36" s="30" customFormat="1">
      <c r="A17" s="74" t="str">
        <f>IF(F17&lt;&gt;"",1+MAX($A$2:A16),"")</f>
        <v/>
      </c>
      <c r="B17" s="47"/>
      <c r="C17" s="75">
        <v>26</v>
      </c>
      <c r="D17" s="49" t="s">
        <v>49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177"/>
      <c r="S17" s="162"/>
    </row>
    <row r="18" spans="1:36" s="30" customFormat="1">
      <c r="A18" s="83" t="str">
        <f>IF(F18&lt;&gt;"",1+MAX($A$2:A17),"")</f>
        <v/>
      </c>
      <c r="B18" s="84"/>
      <c r="C18" s="85"/>
      <c r="D18" s="49" t="s">
        <v>50</v>
      </c>
      <c r="E18" s="61"/>
      <c r="F18" s="86"/>
      <c r="G18" s="87"/>
      <c r="H18" s="59"/>
      <c r="I18" s="131"/>
      <c r="J18" s="132"/>
      <c r="K18" s="133"/>
      <c r="L18" s="134"/>
      <c r="M18" s="134"/>
      <c r="N18" s="134"/>
      <c r="O18" s="134"/>
      <c r="P18" s="134"/>
      <c r="Q18" s="165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</row>
    <row r="19" spans="1:36" s="30" customFormat="1">
      <c r="A19" s="83" t="str">
        <f>IF(F19&lt;&gt;"",1+MAX($A$2:A18),"")</f>
        <v/>
      </c>
      <c r="B19" s="84"/>
      <c r="C19" s="85"/>
      <c r="D19" s="79" t="s">
        <v>51</v>
      </c>
      <c r="E19" s="61"/>
      <c r="F19" s="86"/>
      <c r="G19" s="87"/>
      <c r="H19" s="59"/>
      <c r="I19" s="131"/>
      <c r="J19" s="132"/>
      <c r="K19" s="133"/>
      <c r="L19" s="134"/>
      <c r="M19" s="134"/>
      <c r="N19" s="134"/>
      <c r="O19" s="134"/>
      <c r="P19" s="134"/>
      <c r="Q19" s="165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</row>
    <row r="20" spans="1:36" s="30" customFormat="1">
      <c r="A20" s="83" t="str">
        <f>IF(F20&lt;&gt;"",1+MAX($A$2:A19),"")</f>
        <v/>
      </c>
      <c r="B20" s="84"/>
      <c r="C20" s="85"/>
      <c r="D20" s="88" t="s">
        <v>52</v>
      </c>
      <c r="E20" s="61"/>
      <c r="F20" s="86"/>
      <c r="G20" s="87"/>
      <c r="H20" s="59"/>
      <c r="I20" s="131"/>
      <c r="J20" s="132"/>
      <c r="K20" s="133"/>
      <c r="L20" s="134"/>
      <c r="M20" s="134"/>
      <c r="N20" s="134"/>
      <c r="O20" s="134"/>
      <c r="P20" s="134"/>
      <c r="Q20" s="165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</row>
    <row r="21" spans="1:36" s="30" customFormat="1">
      <c r="A21" s="83">
        <f>IF(F21&lt;&gt;"",1+MAX($A$2:A20),"")</f>
        <v>8</v>
      </c>
      <c r="B21" s="84"/>
      <c r="C21" s="85"/>
      <c r="D21" s="58" t="s">
        <v>53</v>
      </c>
      <c r="E21" s="61">
        <v>169.8</v>
      </c>
      <c r="F21" s="60">
        <v>0.05</v>
      </c>
      <c r="G21" s="55">
        <f t="shared" ref="G21:G26" si="6">(F21*E21)+E21</f>
        <v>178.29</v>
      </c>
      <c r="H21" s="59" t="s">
        <v>54</v>
      </c>
      <c r="I21" s="131">
        <v>0.14599999999999999</v>
      </c>
      <c r="J21" s="132">
        <f t="shared" ref="J21:J22" si="7">+I21*G21</f>
        <v>26.030339999999999</v>
      </c>
      <c r="K21" s="133">
        <f>'LABOR SHEET'!C$3</f>
        <v>128</v>
      </c>
      <c r="L21" s="134">
        <f t="shared" ref="L21:L22" si="8">I21*K21</f>
        <v>18.687999999999999</v>
      </c>
      <c r="M21" s="134">
        <f t="shared" ref="M21:M22" si="9">K21*J21</f>
        <v>3331.8835199999999</v>
      </c>
      <c r="N21" s="134">
        <f>138.78/10+1</f>
        <v>14.878</v>
      </c>
      <c r="O21" s="134">
        <f t="shared" ref="O21:O22" si="10">N21*G21</f>
        <v>2652.5986200000002</v>
      </c>
      <c r="P21" s="134">
        <f t="shared" ref="P21:P22" si="11">(I21*K21)+N21</f>
        <v>33.566000000000003</v>
      </c>
      <c r="Q21" s="164">
        <f t="shared" ref="Q21:Q22" si="12">P21*G21</f>
        <v>5984.4821400000001</v>
      </c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</row>
    <row r="22" spans="1:36" s="30" customFormat="1">
      <c r="A22" s="83">
        <f>IF(F22&lt;&gt;"",1+MAX($A$2:A21),"")</f>
        <v>9</v>
      </c>
      <c r="B22" s="84"/>
      <c r="C22" s="85"/>
      <c r="D22" s="58" t="s">
        <v>55</v>
      </c>
      <c r="E22" s="61">
        <v>3840.06</v>
      </c>
      <c r="F22" s="60">
        <v>0.05</v>
      </c>
      <c r="G22" s="55">
        <f t="shared" si="6"/>
        <v>4032.0630000000001</v>
      </c>
      <c r="H22" s="59" t="s">
        <v>54</v>
      </c>
      <c r="I22" s="131">
        <v>0.115</v>
      </c>
      <c r="J22" s="132">
        <f t="shared" si="7"/>
        <v>463.68724500000002</v>
      </c>
      <c r="K22" s="133">
        <f>'LABOR SHEET'!C$3</f>
        <v>128</v>
      </c>
      <c r="L22" s="134">
        <f t="shared" si="8"/>
        <v>14.72</v>
      </c>
      <c r="M22" s="134">
        <f t="shared" si="9"/>
        <v>59351.967360000002</v>
      </c>
      <c r="N22" s="134">
        <v>9.27</v>
      </c>
      <c r="O22" s="134">
        <f t="shared" si="10"/>
        <v>37377.224009999998</v>
      </c>
      <c r="P22" s="134">
        <f t="shared" si="11"/>
        <v>23.99</v>
      </c>
      <c r="Q22" s="164">
        <f t="shared" si="12"/>
        <v>96729.19137</v>
      </c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</row>
    <row r="23" spans="1:36" s="30" customFormat="1">
      <c r="A23" s="83">
        <f>IF(F23&lt;&gt;"",1+MAX($A$2:A22),"")</f>
        <v>10</v>
      </c>
      <c r="B23" s="84"/>
      <c r="C23" s="85"/>
      <c r="D23" s="58" t="s">
        <v>56</v>
      </c>
      <c r="E23" s="61">
        <v>1079.76</v>
      </c>
      <c r="F23" s="60">
        <v>0.05</v>
      </c>
      <c r="G23" s="55">
        <f t="shared" si="6"/>
        <v>1133.748</v>
      </c>
      <c r="H23" s="59" t="s">
        <v>54</v>
      </c>
      <c r="I23" s="131">
        <v>0.13800000000000001</v>
      </c>
      <c r="J23" s="132">
        <f t="shared" ref="J23:J26" si="13">+I23*G23</f>
        <v>156.457224</v>
      </c>
      <c r="K23" s="133">
        <f>'LABOR SHEET'!C$3</f>
        <v>128</v>
      </c>
      <c r="L23" s="134">
        <f t="shared" ref="L23:L26" si="14">I23*K23</f>
        <v>17.664000000000001</v>
      </c>
      <c r="M23" s="134">
        <f t="shared" ref="M23:M26" si="15">K23*J23</f>
        <v>20026.524672</v>
      </c>
      <c r="N23" s="134">
        <f>103.68/10+0.85</f>
        <v>11.218</v>
      </c>
      <c r="O23" s="134">
        <f t="shared" ref="O23:O26" si="16">N23*G23</f>
        <v>12718.385064</v>
      </c>
      <c r="P23" s="134">
        <f t="shared" ref="P23:P26" si="17">(I23*K23)+N23</f>
        <v>28.882000000000001</v>
      </c>
      <c r="Q23" s="164">
        <f t="shared" ref="Q23:Q26" si="18">P23*G23</f>
        <v>32744.909736000001</v>
      </c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</row>
    <row r="24" spans="1:36" s="30" customFormat="1">
      <c r="A24" s="83">
        <f>IF(F24&lt;&gt;"",1+MAX($A$2:A23),"")</f>
        <v>11</v>
      </c>
      <c r="B24" s="84"/>
      <c r="C24" s="85"/>
      <c r="D24" s="58" t="s">
        <v>57</v>
      </c>
      <c r="E24" s="61">
        <v>234.75</v>
      </c>
      <c r="F24" s="60">
        <v>0.05</v>
      </c>
      <c r="G24" s="55">
        <f t="shared" si="6"/>
        <v>246.48750000000001</v>
      </c>
      <c r="H24" s="59" t="s">
        <v>54</v>
      </c>
      <c r="I24" s="131">
        <v>0.11</v>
      </c>
      <c r="J24" s="132">
        <f t="shared" si="13"/>
        <v>27.113624999999999</v>
      </c>
      <c r="K24" s="133">
        <f>'LABOR SHEET'!C$3</f>
        <v>128</v>
      </c>
      <c r="L24" s="134">
        <f t="shared" si="14"/>
        <v>14.08</v>
      </c>
      <c r="M24" s="134">
        <f t="shared" si="15"/>
        <v>3470.5439999999999</v>
      </c>
      <c r="N24" s="134">
        <f>40.48/10+0.55</f>
        <v>4.5979999999999999</v>
      </c>
      <c r="O24" s="134">
        <f t="shared" si="16"/>
        <v>1133.3495250000001</v>
      </c>
      <c r="P24" s="134">
        <f t="shared" si="17"/>
        <v>18.678000000000001</v>
      </c>
      <c r="Q24" s="164">
        <f t="shared" si="18"/>
        <v>4603.8935250000004</v>
      </c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</row>
    <row r="25" spans="1:36" s="30" customFormat="1">
      <c r="A25" s="83">
        <f>IF(F25&lt;&gt;"",1+MAX($A$2:A24),"")</f>
        <v>12</v>
      </c>
      <c r="B25" s="84"/>
      <c r="C25" s="85"/>
      <c r="D25" s="58" t="s">
        <v>58</v>
      </c>
      <c r="E25" s="61">
        <v>601.29</v>
      </c>
      <c r="F25" s="60">
        <v>0.05</v>
      </c>
      <c r="G25" s="55">
        <f t="shared" si="6"/>
        <v>631.35450000000003</v>
      </c>
      <c r="H25" s="59" t="s">
        <v>54</v>
      </c>
      <c r="I25" s="131">
        <v>0.1</v>
      </c>
      <c r="J25" s="132">
        <f t="shared" si="13"/>
        <v>63.135449999999999</v>
      </c>
      <c r="K25" s="133">
        <f>'LABOR SHEET'!C$3</f>
        <v>128</v>
      </c>
      <c r="L25" s="134">
        <f t="shared" si="14"/>
        <v>12.8</v>
      </c>
      <c r="M25" s="134">
        <f t="shared" si="15"/>
        <v>8081.3375999999998</v>
      </c>
      <c r="N25" s="134">
        <f>34/10+0.35</f>
        <v>3.75</v>
      </c>
      <c r="O25" s="134">
        <f t="shared" si="16"/>
        <v>2367.5793749999998</v>
      </c>
      <c r="P25" s="134">
        <f t="shared" si="17"/>
        <v>16.55</v>
      </c>
      <c r="Q25" s="164">
        <f t="shared" si="18"/>
        <v>10448.916975</v>
      </c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</row>
    <row r="26" spans="1:36" s="30" customFormat="1">
      <c r="A26" s="83">
        <f>IF(F26&lt;&gt;"",1+MAX($A$2:A25),"")</f>
        <v>13</v>
      </c>
      <c r="B26" s="84"/>
      <c r="C26" s="85"/>
      <c r="D26" s="58" t="s">
        <v>59</v>
      </c>
      <c r="E26" s="61">
        <v>3357.45</v>
      </c>
      <c r="F26" s="60">
        <v>0.05</v>
      </c>
      <c r="G26" s="55">
        <f t="shared" si="6"/>
        <v>3525.3225000000002</v>
      </c>
      <c r="H26" s="59" t="s">
        <v>54</v>
      </c>
      <c r="I26" s="131">
        <v>0.01</v>
      </c>
      <c r="J26" s="132">
        <f t="shared" si="13"/>
        <v>35.253225</v>
      </c>
      <c r="K26" s="133">
        <f>'LABOR SHEET'!C$3</f>
        <v>128</v>
      </c>
      <c r="L26" s="134">
        <f t="shared" si="14"/>
        <v>1.28</v>
      </c>
      <c r="M26" s="134">
        <f t="shared" si="15"/>
        <v>4512.4128000000001</v>
      </c>
      <c r="N26" s="134">
        <v>0.35</v>
      </c>
      <c r="O26" s="134">
        <f t="shared" si="16"/>
        <v>1233.862875</v>
      </c>
      <c r="P26" s="134">
        <f t="shared" si="17"/>
        <v>1.63</v>
      </c>
      <c r="Q26" s="164">
        <f t="shared" si="18"/>
        <v>5746.2756749999999</v>
      </c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</row>
    <row r="27" spans="1:36" s="30" customFormat="1">
      <c r="A27" s="83" t="str">
        <f>IF(F27&lt;&gt;"",1+MAX($A$2:A26),"")</f>
        <v/>
      </c>
      <c r="B27" s="84"/>
      <c r="C27" s="85"/>
      <c r="D27" s="58"/>
      <c r="E27" s="61"/>
      <c r="F27" s="86"/>
      <c r="G27" s="87"/>
      <c r="H27" s="59"/>
      <c r="I27" s="131"/>
      <c r="J27" s="132"/>
      <c r="K27" s="133"/>
      <c r="L27" s="134"/>
      <c r="M27" s="134"/>
      <c r="N27" s="134"/>
      <c r="O27" s="134"/>
      <c r="P27" s="134"/>
      <c r="Q27" s="165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</row>
    <row r="28" spans="1:36" s="30" customFormat="1">
      <c r="A28" s="83" t="str">
        <f>IF(F28&lt;&gt;"",1+MAX($A$2:A27),"")</f>
        <v/>
      </c>
      <c r="B28" s="84"/>
      <c r="C28" s="85"/>
      <c r="D28" s="88" t="s">
        <v>60</v>
      </c>
      <c r="E28" s="61"/>
      <c r="F28" s="86"/>
      <c r="G28" s="87"/>
      <c r="H28" s="59"/>
      <c r="I28" s="131"/>
      <c r="J28" s="132"/>
      <c r="K28" s="133"/>
      <c r="L28" s="134"/>
      <c r="M28" s="134"/>
      <c r="N28" s="134"/>
      <c r="O28" s="134"/>
      <c r="P28" s="134"/>
      <c r="Q28" s="165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</row>
    <row r="29" spans="1:36" s="30" customFormat="1">
      <c r="A29" s="83">
        <f>IF(F29&lt;&gt;"",1+MAX($A$2:A28),"")</f>
        <v>14</v>
      </c>
      <c r="B29" s="84"/>
      <c r="C29" s="85"/>
      <c r="D29" s="58" t="s">
        <v>61</v>
      </c>
      <c r="E29" s="61">
        <v>3548.64</v>
      </c>
      <c r="F29" s="60">
        <v>0.05</v>
      </c>
      <c r="G29" s="55">
        <f t="shared" ref="G29:G34" si="19">(F29*E29)+E29</f>
        <v>3726.0720000000001</v>
      </c>
      <c r="H29" s="59" t="s">
        <v>54</v>
      </c>
      <c r="I29" s="131">
        <v>0.1</v>
      </c>
      <c r="J29" s="132">
        <f t="shared" ref="J29:J34" si="20">+I29*G29</f>
        <v>372.60719999999998</v>
      </c>
      <c r="K29" s="133">
        <f>'LABOR SHEET'!C$3</f>
        <v>128</v>
      </c>
      <c r="L29" s="134">
        <f t="shared" ref="L29:L34" si="21">I29*K29</f>
        <v>12.8</v>
      </c>
      <c r="M29" s="134">
        <f t="shared" ref="M29:M34" si="22">K29*J29</f>
        <v>47693.721599999997</v>
      </c>
      <c r="N29" s="134">
        <v>22.57</v>
      </c>
      <c r="O29" s="134">
        <f t="shared" ref="O29:O34" si="23">N29*G29</f>
        <v>84097.445040000006</v>
      </c>
      <c r="P29" s="134">
        <f t="shared" ref="P29:P34" si="24">(I29*K29)+N29</f>
        <v>35.369999999999997</v>
      </c>
      <c r="Q29" s="164">
        <f t="shared" ref="Q29:Q34" si="25">P29*G29</f>
        <v>131791.16664000001</v>
      </c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</row>
    <row r="30" spans="1:36" s="30" customFormat="1">
      <c r="A30" s="83">
        <f>IF(F30&lt;&gt;"",1+MAX($A$2:A29),"")</f>
        <v>15</v>
      </c>
      <c r="B30" s="84"/>
      <c r="C30" s="85"/>
      <c r="D30" s="58" t="s">
        <v>62</v>
      </c>
      <c r="E30" s="61">
        <v>4319.04</v>
      </c>
      <c r="F30" s="60">
        <v>0.05</v>
      </c>
      <c r="G30" s="55">
        <f t="shared" si="19"/>
        <v>4534.9920000000002</v>
      </c>
      <c r="H30" s="59" t="s">
        <v>54</v>
      </c>
      <c r="I30" s="131">
        <v>7.0000000000000007E-2</v>
      </c>
      <c r="J30" s="132">
        <f t="shared" si="20"/>
        <v>317.44943999999998</v>
      </c>
      <c r="K30" s="133">
        <f>'LABOR SHEET'!C$3</f>
        <v>128</v>
      </c>
      <c r="L30" s="134">
        <f t="shared" si="21"/>
        <v>8.9600000000000009</v>
      </c>
      <c r="M30" s="134">
        <f t="shared" si="22"/>
        <v>40633.528319999998</v>
      </c>
      <c r="N30" s="134">
        <v>13.24</v>
      </c>
      <c r="O30" s="134">
        <f t="shared" si="23"/>
        <v>60043.29408</v>
      </c>
      <c r="P30" s="134">
        <f t="shared" si="24"/>
        <v>22.2</v>
      </c>
      <c r="Q30" s="164">
        <f t="shared" si="25"/>
        <v>100676.8224</v>
      </c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</row>
    <row r="31" spans="1:36" s="30" customFormat="1">
      <c r="A31" s="83">
        <f>IF(F31&lt;&gt;"",1+MAX($A$2:A30),"")</f>
        <v>16</v>
      </c>
      <c r="B31" s="84"/>
      <c r="C31" s="85"/>
      <c r="D31" s="58" t="s">
        <v>63</v>
      </c>
      <c r="E31" s="61">
        <v>451.56</v>
      </c>
      <c r="F31" s="60">
        <v>0.05</v>
      </c>
      <c r="G31" s="55">
        <f t="shared" si="19"/>
        <v>474.13799999999998</v>
      </c>
      <c r="H31" s="59" t="s">
        <v>54</v>
      </c>
      <c r="I31" s="131">
        <v>6.6000000000000003E-2</v>
      </c>
      <c r="J31" s="132">
        <f t="shared" si="20"/>
        <v>31.293108</v>
      </c>
      <c r="K31" s="133">
        <f>'LABOR SHEET'!C$3</f>
        <v>128</v>
      </c>
      <c r="L31" s="134">
        <f t="shared" si="21"/>
        <v>8.4480000000000004</v>
      </c>
      <c r="M31" s="134">
        <f t="shared" si="22"/>
        <v>4005.517824</v>
      </c>
      <c r="N31" s="134">
        <v>7.78</v>
      </c>
      <c r="O31" s="134">
        <f t="shared" si="23"/>
        <v>3688.7936399999999</v>
      </c>
      <c r="P31" s="134">
        <f t="shared" si="24"/>
        <v>16.228000000000002</v>
      </c>
      <c r="Q31" s="164">
        <f t="shared" si="25"/>
        <v>7694.3114640000003</v>
      </c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</row>
    <row r="32" spans="1:36" s="30" customFormat="1">
      <c r="A32" s="83">
        <f>IF(F32&lt;&gt;"",1+MAX($A$2:A31),"")</f>
        <v>17</v>
      </c>
      <c r="B32" s="84"/>
      <c r="C32" s="85"/>
      <c r="D32" s="58" t="s">
        <v>64</v>
      </c>
      <c r="E32" s="61">
        <v>1079.76</v>
      </c>
      <c r="F32" s="60">
        <v>0.05</v>
      </c>
      <c r="G32" s="55">
        <f t="shared" si="19"/>
        <v>1133.748</v>
      </c>
      <c r="H32" s="59" t="s">
        <v>54</v>
      </c>
      <c r="I32" s="131">
        <v>0.06</v>
      </c>
      <c r="J32" s="132">
        <f t="shared" si="20"/>
        <v>68.024879999999996</v>
      </c>
      <c r="K32" s="133">
        <f>'LABOR SHEET'!C$3</f>
        <v>128</v>
      </c>
      <c r="L32" s="134">
        <f t="shared" si="21"/>
        <v>7.68</v>
      </c>
      <c r="M32" s="134">
        <f t="shared" si="22"/>
        <v>8707.1846399999995</v>
      </c>
      <c r="N32" s="134">
        <v>6.33</v>
      </c>
      <c r="O32" s="134">
        <f t="shared" si="23"/>
        <v>7176.6248400000004</v>
      </c>
      <c r="P32" s="134">
        <f t="shared" si="24"/>
        <v>14.01</v>
      </c>
      <c r="Q32" s="164">
        <f t="shared" si="25"/>
        <v>15883.80948</v>
      </c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</row>
    <row r="33" spans="1:36" s="30" customFormat="1">
      <c r="A33" s="83">
        <f>IF(F33&lt;&gt;"",1+MAX($A$2:A32),"")</f>
        <v>18</v>
      </c>
      <c r="B33" s="84"/>
      <c r="C33" s="85"/>
      <c r="D33" s="58" t="s">
        <v>65</v>
      </c>
      <c r="E33" s="61">
        <v>2523.7199999999998</v>
      </c>
      <c r="F33" s="60">
        <v>0.05</v>
      </c>
      <c r="G33" s="55">
        <f t="shared" si="19"/>
        <v>2649.9059999999999</v>
      </c>
      <c r="H33" s="59" t="s">
        <v>54</v>
      </c>
      <c r="I33" s="131">
        <v>2.5000000000000001E-2</v>
      </c>
      <c r="J33" s="132">
        <f t="shared" si="20"/>
        <v>66.247649999999993</v>
      </c>
      <c r="K33" s="133">
        <f>'LABOR SHEET'!C$3</f>
        <v>128</v>
      </c>
      <c r="L33" s="134">
        <f t="shared" si="21"/>
        <v>3.2</v>
      </c>
      <c r="M33" s="134">
        <f t="shared" si="22"/>
        <v>8479.6991999999991</v>
      </c>
      <c r="N33" s="134">
        <v>2.97</v>
      </c>
      <c r="O33" s="134">
        <f t="shared" si="23"/>
        <v>7870.2208199999995</v>
      </c>
      <c r="P33" s="134">
        <f t="shared" si="24"/>
        <v>6.17</v>
      </c>
      <c r="Q33" s="164">
        <f t="shared" si="25"/>
        <v>16349.92002</v>
      </c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</row>
    <row r="34" spans="1:36" s="30" customFormat="1">
      <c r="A34" s="83">
        <f>IF(F34&lt;&gt;"",1+MAX($A$2:A33),"")</f>
        <v>19</v>
      </c>
      <c r="B34" s="84"/>
      <c r="C34" s="85"/>
      <c r="D34" s="58" t="s">
        <v>66</v>
      </c>
      <c r="E34" s="61">
        <v>601.29</v>
      </c>
      <c r="F34" s="60">
        <v>0.05</v>
      </c>
      <c r="G34" s="55">
        <f t="shared" si="19"/>
        <v>631.35450000000003</v>
      </c>
      <c r="H34" s="59" t="s">
        <v>54</v>
      </c>
      <c r="I34" s="131">
        <v>1.2E-2</v>
      </c>
      <c r="J34" s="132">
        <f t="shared" si="20"/>
        <v>7.5762539999999996</v>
      </c>
      <c r="K34" s="133">
        <f>'LABOR SHEET'!C$3</f>
        <v>128</v>
      </c>
      <c r="L34" s="134">
        <f t="shared" si="21"/>
        <v>1.536</v>
      </c>
      <c r="M34" s="134">
        <f t="shared" si="22"/>
        <v>969.76051199999995</v>
      </c>
      <c r="N34" s="134">
        <v>0.82</v>
      </c>
      <c r="O34" s="134">
        <f t="shared" si="23"/>
        <v>517.71069</v>
      </c>
      <c r="P34" s="134">
        <f t="shared" si="24"/>
        <v>2.3559999999999999</v>
      </c>
      <c r="Q34" s="164">
        <f t="shared" si="25"/>
        <v>1487.4712019999999</v>
      </c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</row>
    <row r="35" spans="1:36" s="30" customFormat="1">
      <c r="A35" s="83" t="str">
        <f>IF(F35&lt;&gt;"",1+MAX($A$2:A34),"")</f>
        <v/>
      </c>
      <c r="B35" s="84"/>
      <c r="C35" s="85"/>
      <c r="D35" s="58"/>
      <c r="E35" s="61"/>
      <c r="F35" s="86"/>
      <c r="G35" s="87"/>
      <c r="H35" s="59"/>
      <c r="I35" s="131"/>
      <c r="J35" s="132"/>
      <c r="K35" s="133"/>
      <c r="L35" s="134"/>
      <c r="M35" s="134"/>
      <c r="N35" s="134"/>
      <c r="O35" s="134"/>
      <c r="P35" s="134"/>
      <c r="Q35" s="165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</row>
    <row r="36" spans="1:36" s="30" customFormat="1">
      <c r="A36" s="83" t="str">
        <f>IF(F36&lt;&gt;"",1+MAX($A$2:A35),"")</f>
        <v/>
      </c>
      <c r="B36" s="84"/>
      <c r="C36" s="85"/>
      <c r="D36" s="79" t="s">
        <v>67</v>
      </c>
      <c r="E36" s="61"/>
      <c r="F36" s="86"/>
      <c r="G36" s="87"/>
      <c r="H36" s="59"/>
      <c r="I36" s="131"/>
      <c r="J36" s="132"/>
      <c r="K36" s="133"/>
      <c r="L36" s="134"/>
      <c r="M36" s="134"/>
      <c r="N36" s="134"/>
      <c r="O36" s="134"/>
      <c r="P36" s="134"/>
      <c r="Q36" s="165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</row>
    <row r="37" spans="1:36" s="30" customFormat="1">
      <c r="A37" s="83">
        <f>IF(F37&lt;&gt;"",1+MAX($A$2:A36),"")</f>
        <v>20</v>
      </c>
      <c r="B37" s="84"/>
      <c r="C37" s="85"/>
      <c r="D37" s="58" t="s">
        <v>68</v>
      </c>
      <c r="E37" s="61">
        <v>40</v>
      </c>
      <c r="F37" s="60">
        <v>0</v>
      </c>
      <c r="G37" s="55">
        <f t="shared" ref="G37:G41" si="26">(F37*E37)+E37</f>
        <v>40</v>
      </c>
      <c r="H37" s="59" t="s">
        <v>54</v>
      </c>
      <c r="I37" s="131">
        <v>0.03</v>
      </c>
      <c r="J37" s="132">
        <f t="shared" ref="J37:J41" si="27">+I37*G37</f>
        <v>1.2</v>
      </c>
      <c r="K37" s="133">
        <f>'LABOR SHEET'!C$3</f>
        <v>128</v>
      </c>
      <c r="L37" s="134">
        <f t="shared" ref="L37:L41" si="28">I37*K37</f>
        <v>3.84</v>
      </c>
      <c r="M37" s="134">
        <f t="shared" ref="M37:M41" si="29">K37*J37</f>
        <v>153.6</v>
      </c>
      <c r="N37" s="134">
        <v>5.54</v>
      </c>
      <c r="O37" s="134">
        <f t="shared" ref="O37:O41" si="30">N37*G37</f>
        <v>221.6</v>
      </c>
      <c r="P37" s="134">
        <f t="shared" ref="P37:P41" si="31">(I37*K37)+N37</f>
        <v>9.3800000000000008</v>
      </c>
      <c r="Q37" s="164">
        <f t="shared" ref="Q37:Q41" si="32">P37*G37</f>
        <v>375.2</v>
      </c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</row>
    <row r="38" spans="1:36" s="30" customFormat="1">
      <c r="A38" s="83">
        <f>IF(F38&lt;&gt;"",1+MAX($A$2:A37),"")</f>
        <v>21</v>
      </c>
      <c r="B38" s="84"/>
      <c r="C38" s="85"/>
      <c r="D38" s="58" t="s">
        <v>69</v>
      </c>
      <c r="E38" s="61">
        <v>100</v>
      </c>
      <c r="F38" s="60">
        <v>0</v>
      </c>
      <c r="G38" s="55">
        <f t="shared" si="26"/>
        <v>100</v>
      </c>
      <c r="H38" s="59" t="s">
        <v>54</v>
      </c>
      <c r="I38" s="131">
        <v>1.4999999999999999E-2</v>
      </c>
      <c r="J38" s="132">
        <f t="shared" si="27"/>
        <v>1.5</v>
      </c>
      <c r="K38" s="133">
        <f>'LABOR SHEET'!C$3</f>
        <v>128</v>
      </c>
      <c r="L38" s="134">
        <f t="shared" si="28"/>
        <v>1.92</v>
      </c>
      <c r="M38" s="134">
        <f t="shared" si="29"/>
        <v>192</v>
      </c>
      <c r="N38" s="134">
        <v>1.05</v>
      </c>
      <c r="O38" s="134">
        <f t="shared" si="30"/>
        <v>105</v>
      </c>
      <c r="P38" s="134">
        <f t="shared" si="31"/>
        <v>2.97</v>
      </c>
      <c r="Q38" s="164">
        <f t="shared" si="32"/>
        <v>297</v>
      </c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</row>
    <row r="39" spans="1:36" s="30" customFormat="1">
      <c r="A39" s="83">
        <f>IF(F39&lt;&gt;"",1+MAX($A$2:A38),"")</f>
        <v>22</v>
      </c>
      <c r="B39" s="84"/>
      <c r="C39" s="85"/>
      <c r="D39" s="58" t="s">
        <v>70</v>
      </c>
      <c r="E39" s="61">
        <v>10</v>
      </c>
      <c r="F39" s="60">
        <v>0.05</v>
      </c>
      <c r="G39" s="55">
        <f t="shared" si="26"/>
        <v>10.5</v>
      </c>
      <c r="H39" s="59" t="s">
        <v>71</v>
      </c>
      <c r="I39" s="131">
        <v>0.6</v>
      </c>
      <c r="J39" s="132">
        <f t="shared" si="27"/>
        <v>6.3</v>
      </c>
      <c r="K39" s="133">
        <f>'LABOR SHEET'!C$3</f>
        <v>128</v>
      </c>
      <c r="L39" s="134">
        <f t="shared" si="28"/>
        <v>76.8</v>
      </c>
      <c r="M39" s="134">
        <f t="shared" si="29"/>
        <v>806.4</v>
      </c>
      <c r="N39" s="134">
        <v>49.99</v>
      </c>
      <c r="O39" s="134">
        <f t="shared" si="30"/>
        <v>524.89499999999998</v>
      </c>
      <c r="P39" s="134">
        <f t="shared" si="31"/>
        <v>126.79</v>
      </c>
      <c r="Q39" s="164">
        <f t="shared" si="32"/>
        <v>1331.2950000000001</v>
      </c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</row>
    <row r="40" spans="1:36" s="30" customFormat="1">
      <c r="A40" s="83">
        <f>IF(F40&lt;&gt;"",1+MAX($A$2:A39),"")</f>
        <v>23</v>
      </c>
      <c r="B40" s="84"/>
      <c r="C40" s="85"/>
      <c r="D40" s="58" t="s">
        <v>72</v>
      </c>
      <c r="E40" s="61">
        <v>12</v>
      </c>
      <c r="F40" s="60">
        <v>0.05</v>
      </c>
      <c r="G40" s="55">
        <f t="shared" si="26"/>
        <v>12.6</v>
      </c>
      <c r="H40" s="59" t="s">
        <v>71</v>
      </c>
      <c r="I40" s="131">
        <v>0.25</v>
      </c>
      <c r="J40" s="132">
        <f t="shared" si="27"/>
        <v>3.15</v>
      </c>
      <c r="K40" s="133">
        <f>'LABOR SHEET'!C$3</f>
        <v>128</v>
      </c>
      <c r="L40" s="134">
        <f t="shared" si="28"/>
        <v>32</v>
      </c>
      <c r="M40" s="134">
        <f t="shared" si="29"/>
        <v>403.2</v>
      </c>
      <c r="N40" s="134">
        <v>18</v>
      </c>
      <c r="O40" s="134">
        <f t="shared" si="30"/>
        <v>226.8</v>
      </c>
      <c r="P40" s="134">
        <f t="shared" si="31"/>
        <v>50</v>
      </c>
      <c r="Q40" s="164">
        <f t="shared" si="32"/>
        <v>630</v>
      </c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</row>
    <row r="41" spans="1:36" s="30" customFormat="1">
      <c r="A41" s="83">
        <f>IF(F41&lt;&gt;"",1+MAX($A$2:A40),"")</f>
        <v>24</v>
      </c>
      <c r="B41" s="84"/>
      <c r="C41" s="85"/>
      <c r="D41" s="58" t="s">
        <v>73</v>
      </c>
      <c r="E41" s="61">
        <v>2</v>
      </c>
      <c r="F41" s="60">
        <v>0.05</v>
      </c>
      <c r="G41" s="55">
        <f t="shared" si="26"/>
        <v>2.1</v>
      </c>
      <c r="H41" s="59" t="s">
        <v>71</v>
      </c>
      <c r="I41" s="131">
        <v>1.22</v>
      </c>
      <c r="J41" s="132">
        <f t="shared" si="27"/>
        <v>2.5619999999999998</v>
      </c>
      <c r="K41" s="133">
        <f>'LABOR SHEET'!C$3</f>
        <v>128</v>
      </c>
      <c r="L41" s="134">
        <f t="shared" si="28"/>
        <v>156.16</v>
      </c>
      <c r="M41" s="134">
        <f t="shared" si="29"/>
        <v>327.93599999999998</v>
      </c>
      <c r="N41" s="134">
        <v>225</v>
      </c>
      <c r="O41" s="134">
        <f t="shared" si="30"/>
        <v>472.5</v>
      </c>
      <c r="P41" s="134">
        <f t="shared" si="31"/>
        <v>381.16</v>
      </c>
      <c r="Q41" s="164">
        <f t="shared" si="32"/>
        <v>800.43600000000004</v>
      </c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</row>
    <row r="42" spans="1:36" s="30" customFormat="1">
      <c r="A42" s="83" t="str">
        <f>IF(F42&lt;&gt;"",1+MAX($A$2:A41),"")</f>
        <v/>
      </c>
      <c r="B42" s="84"/>
      <c r="C42" s="85"/>
      <c r="D42" s="58"/>
      <c r="E42" s="61"/>
      <c r="F42" s="86"/>
      <c r="G42" s="87"/>
      <c r="H42" s="59"/>
      <c r="I42" s="131"/>
      <c r="J42" s="132"/>
      <c r="K42" s="133"/>
      <c r="L42" s="134"/>
      <c r="M42" s="134"/>
      <c r="N42" s="134"/>
      <c r="O42" s="134"/>
      <c r="P42" s="134"/>
      <c r="Q42" s="165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</row>
    <row r="43" spans="1:36" s="30" customFormat="1">
      <c r="A43" s="83" t="str">
        <f>IF(F43&lt;&gt;"",1+MAX($A$2:A42),"")</f>
        <v/>
      </c>
      <c r="B43" s="84"/>
      <c r="C43" s="85"/>
      <c r="D43" s="79" t="s">
        <v>74</v>
      </c>
      <c r="E43" s="61"/>
      <c r="F43" s="86"/>
      <c r="G43" s="87"/>
      <c r="H43" s="59"/>
      <c r="I43" s="131"/>
      <c r="J43" s="132"/>
      <c r="K43" s="133"/>
      <c r="L43" s="134"/>
      <c r="M43" s="134"/>
      <c r="N43" s="134"/>
      <c r="O43" s="134"/>
      <c r="P43" s="134"/>
      <c r="Q43" s="165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</row>
    <row r="44" spans="1:36" s="30" customFormat="1">
      <c r="A44" s="83">
        <f>IF(F44&lt;&gt;"",1+MAX($A$2:A43),"")</f>
        <v>25</v>
      </c>
      <c r="B44" s="84"/>
      <c r="C44" s="85"/>
      <c r="D44" s="58" t="s">
        <v>75</v>
      </c>
      <c r="E44" s="61">
        <v>2</v>
      </c>
      <c r="F44" s="60">
        <v>0</v>
      </c>
      <c r="G44" s="55">
        <f t="shared" ref="G44:G66" si="33">(F44*E44)+E44</f>
        <v>2</v>
      </c>
      <c r="H44" s="59" t="s">
        <v>71</v>
      </c>
      <c r="I44" s="131">
        <v>2</v>
      </c>
      <c r="J44" s="132">
        <f t="shared" ref="J44:J45" si="34">+I44*G44</f>
        <v>4</v>
      </c>
      <c r="K44" s="133">
        <f>'LABOR SHEET'!C$3</f>
        <v>128</v>
      </c>
      <c r="L44" s="134">
        <f t="shared" ref="L44:L45" si="35">I44*K44</f>
        <v>256</v>
      </c>
      <c r="M44" s="134">
        <f t="shared" ref="M44:M45" si="36">K44*J44</f>
        <v>512</v>
      </c>
      <c r="N44" s="134">
        <v>326</v>
      </c>
      <c r="O44" s="134">
        <f t="shared" ref="O44:O45" si="37">N44*G44</f>
        <v>652</v>
      </c>
      <c r="P44" s="134">
        <f t="shared" ref="P44:P45" si="38">(I44*K44)+N44</f>
        <v>582</v>
      </c>
      <c r="Q44" s="164">
        <f t="shared" ref="Q44:Q45" si="39">P44*G44</f>
        <v>1164</v>
      </c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</row>
    <row r="45" spans="1:36" s="30" customFormat="1">
      <c r="A45" s="83">
        <f>IF(F45&lt;&gt;"",1+MAX($A$2:A44),"")</f>
        <v>26</v>
      </c>
      <c r="B45" s="84"/>
      <c r="C45" s="85"/>
      <c r="D45" s="58" t="s">
        <v>76</v>
      </c>
      <c r="E45" s="61">
        <v>2</v>
      </c>
      <c r="F45" s="60">
        <v>0</v>
      </c>
      <c r="G45" s="55">
        <f t="shared" si="33"/>
        <v>2</v>
      </c>
      <c r="H45" s="59" t="s">
        <v>71</v>
      </c>
      <c r="I45" s="131">
        <v>3.5</v>
      </c>
      <c r="J45" s="132">
        <f t="shared" si="34"/>
        <v>7</v>
      </c>
      <c r="K45" s="133">
        <f>'LABOR SHEET'!C$3</f>
        <v>128</v>
      </c>
      <c r="L45" s="134">
        <f t="shared" si="35"/>
        <v>448</v>
      </c>
      <c r="M45" s="134">
        <f t="shared" si="36"/>
        <v>896</v>
      </c>
      <c r="N45" s="134">
        <v>599.16999999999996</v>
      </c>
      <c r="O45" s="134">
        <f t="shared" si="37"/>
        <v>1198.3399999999999</v>
      </c>
      <c r="P45" s="134">
        <f t="shared" si="38"/>
        <v>1047.17</v>
      </c>
      <c r="Q45" s="164">
        <f t="shared" si="39"/>
        <v>2094.34</v>
      </c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</row>
    <row r="46" spans="1:36" s="30" customFormat="1">
      <c r="A46" s="83" t="str">
        <f>IF(F46&lt;&gt;"",1+MAX($A$2:A45),"")</f>
        <v/>
      </c>
      <c r="B46" s="84"/>
      <c r="C46" s="85"/>
      <c r="D46" s="58"/>
      <c r="E46" s="61"/>
      <c r="F46" s="86"/>
      <c r="G46" s="87"/>
      <c r="H46" s="59"/>
      <c r="I46" s="131"/>
      <c r="J46" s="132"/>
      <c r="K46" s="133"/>
      <c r="L46" s="134"/>
      <c r="M46" s="134"/>
      <c r="N46" s="134"/>
      <c r="O46" s="134"/>
      <c r="P46" s="134"/>
      <c r="Q46" s="165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</row>
    <row r="47" spans="1:36" s="30" customFormat="1">
      <c r="A47" s="83" t="str">
        <f>IF(F47&lt;&gt;"",1+MAX($A$2:A46),"")</f>
        <v/>
      </c>
      <c r="B47" s="84"/>
      <c r="C47" s="85"/>
      <c r="D47" s="79" t="s">
        <v>77</v>
      </c>
      <c r="E47" s="61"/>
      <c r="F47" s="86"/>
      <c r="G47" s="87"/>
      <c r="H47" s="59"/>
      <c r="I47" s="131"/>
      <c r="J47" s="132"/>
      <c r="K47" s="133"/>
      <c r="L47" s="134"/>
      <c r="M47" s="134"/>
      <c r="N47" s="134"/>
      <c r="O47" s="134"/>
      <c r="P47" s="134"/>
      <c r="Q47" s="165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</row>
    <row r="48" spans="1:36" s="30" customFormat="1">
      <c r="A48" s="83">
        <f>IF(F48&lt;&gt;"",1+MAX($A$2:A47),"")</f>
        <v>27</v>
      </c>
      <c r="B48" s="84"/>
      <c r="C48" s="85"/>
      <c r="D48" s="58" t="s">
        <v>78</v>
      </c>
      <c r="E48" s="61">
        <v>196</v>
      </c>
      <c r="F48" s="60">
        <v>0</v>
      </c>
      <c r="G48" s="55">
        <f t="shared" si="33"/>
        <v>196</v>
      </c>
      <c r="H48" s="59" t="s">
        <v>71</v>
      </c>
      <c r="I48" s="131">
        <v>0.25</v>
      </c>
      <c r="J48" s="132">
        <f t="shared" ref="J48:J66" si="40">+I48*G48</f>
        <v>49</v>
      </c>
      <c r="K48" s="133">
        <f>'LABOR SHEET'!C$3</f>
        <v>128</v>
      </c>
      <c r="L48" s="134">
        <f t="shared" ref="L48:L66" si="41">I48*K48</f>
        <v>32</v>
      </c>
      <c r="M48" s="134">
        <f t="shared" ref="M48:M66" si="42">K48*J48</f>
        <v>6272</v>
      </c>
      <c r="N48" s="134">
        <v>16.98</v>
      </c>
      <c r="O48" s="134">
        <f t="shared" ref="O48:O66" si="43">N48*G48</f>
        <v>3328.08</v>
      </c>
      <c r="P48" s="134">
        <f t="shared" ref="P48:P66" si="44">(I48*K48)+N48</f>
        <v>48.98</v>
      </c>
      <c r="Q48" s="164">
        <f t="shared" ref="Q48:Q66" si="45">P48*G48</f>
        <v>9600.08</v>
      </c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</row>
    <row r="49" spans="1:36" s="30" customFormat="1">
      <c r="A49" s="83">
        <f>IF(F49&lt;&gt;"",1+MAX($A$2:A48),"")</f>
        <v>28</v>
      </c>
      <c r="B49" s="84"/>
      <c r="C49" s="85"/>
      <c r="D49" s="58" t="s">
        <v>79</v>
      </c>
      <c r="E49" s="61">
        <v>8</v>
      </c>
      <c r="F49" s="60">
        <v>0</v>
      </c>
      <c r="G49" s="55">
        <f t="shared" si="33"/>
        <v>8</v>
      </c>
      <c r="H49" s="59" t="s">
        <v>71</v>
      </c>
      <c r="I49" s="131">
        <v>0.4</v>
      </c>
      <c r="J49" s="132">
        <f t="shared" si="40"/>
        <v>3.2</v>
      </c>
      <c r="K49" s="133">
        <f>'LABOR SHEET'!C$3</f>
        <v>128</v>
      </c>
      <c r="L49" s="134">
        <f t="shared" si="41"/>
        <v>51.2</v>
      </c>
      <c r="M49" s="134">
        <f t="shared" si="42"/>
        <v>409.6</v>
      </c>
      <c r="N49" s="134">
        <v>22.4</v>
      </c>
      <c r="O49" s="134">
        <f t="shared" si="43"/>
        <v>179.2</v>
      </c>
      <c r="P49" s="134">
        <f t="shared" si="44"/>
        <v>73.599999999999994</v>
      </c>
      <c r="Q49" s="164">
        <f t="shared" si="45"/>
        <v>588.79999999999995</v>
      </c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</row>
    <row r="50" spans="1:36" s="30" customFormat="1">
      <c r="A50" s="83">
        <f>IF(F50&lt;&gt;"",1+MAX($A$2:A49),"")</f>
        <v>29</v>
      </c>
      <c r="B50" s="84"/>
      <c r="C50" s="85"/>
      <c r="D50" s="58" t="s">
        <v>80</v>
      </c>
      <c r="E50" s="61">
        <v>16</v>
      </c>
      <c r="F50" s="60">
        <v>0</v>
      </c>
      <c r="G50" s="55">
        <f t="shared" si="33"/>
        <v>16</v>
      </c>
      <c r="H50" s="59" t="s">
        <v>71</v>
      </c>
      <c r="I50" s="131">
        <v>0.4</v>
      </c>
      <c r="J50" s="132">
        <f t="shared" si="40"/>
        <v>6.4</v>
      </c>
      <c r="K50" s="133">
        <f>'LABOR SHEET'!C$3</f>
        <v>128</v>
      </c>
      <c r="L50" s="134">
        <f t="shared" si="41"/>
        <v>51.2</v>
      </c>
      <c r="M50" s="134">
        <f t="shared" si="42"/>
        <v>819.2</v>
      </c>
      <c r="N50" s="134">
        <v>28.5</v>
      </c>
      <c r="O50" s="134">
        <f t="shared" si="43"/>
        <v>456</v>
      </c>
      <c r="P50" s="134">
        <f t="shared" si="44"/>
        <v>79.7</v>
      </c>
      <c r="Q50" s="164">
        <f t="shared" si="45"/>
        <v>1275.2</v>
      </c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</row>
    <row r="51" spans="1:36" s="30" customFormat="1">
      <c r="A51" s="83">
        <f>IF(F51&lt;&gt;"",1+MAX($A$2:A50),"")</f>
        <v>30</v>
      </c>
      <c r="B51" s="84"/>
      <c r="C51" s="85"/>
      <c r="D51" s="58" t="s">
        <v>81</v>
      </c>
      <c r="E51" s="61">
        <v>11</v>
      </c>
      <c r="F51" s="60">
        <v>0</v>
      </c>
      <c r="G51" s="55">
        <f t="shared" si="33"/>
        <v>11</v>
      </c>
      <c r="H51" s="59" t="s">
        <v>71</v>
      </c>
      <c r="I51" s="131">
        <v>0.5</v>
      </c>
      <c r="J51" s="132">
        <f t="shared" si="40"/>
        <v>5.5</v>
      </c>
      <c r="K51" s="133">
        <f>'LABOR SHEET'!C$3</f>
        <v>128</v>
      </c>
      <c r="L51" s="134">
        <f t="shared" si="41"/>
        <v>64</v>
      </c>
      <c r="M51" s="134">
        <f t="shared" si="42"/>
        <v>704</v>
      </c>
      <c r="N51" s="134">
        <f>3.44*30</f>
        <v>103.2</v>
      </c>
      <c r="O51" s="134">
        <f t="shared" si="43"/>
        <v>1135.2</v>
      </c>
      <c r="P51" s="134">
        <f t="shared" si="44"/>
        <v>167.2</v>
      </c>
      <c r="Q51" s="164">
        <f t="shared" si="45"/>
        <v>1839.2</v>
      </c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</row>
    <row r="52" spans="1:36" s="30" customFormat="1">
      <c r="A52" s="83">
        <f>IF(F52&lt;&gt;"",1+MAX($A$2:A51),"")</f>
        <v>31</v>
      </c>
      <c r="B52" s="84"/>
      <c r="C52" s="85"/>
      <c r="D52" s="58" t="s">
        <v>82</v>
      </c>
      <c r="E52" s="61">
        <v>4</v>
      </c>
      <c r="F52" s="60">
        <v>0</v>
      </c>
      <c r="G52" s="55">
        <f t="shared" si="33"/>
        <v>4</v>
      </c>
      <c r="H52" s="59" t="s">
        <v>71</v>
      </c>
      <c r="I52" s="131">
        <v>0.4</v>
      </c>
      <c r="J52" s="132">
        <f t="shared" si="40"/>
        <v>1.6</v>
      </c>
      <c r="K52" s="133">
        <f>'LABOR SHEET'!C$3</f>
        <v>128</v>
      </c>
      <c r="L52" s="134">
        <f t="shared" si="41"/>
        <v>51.2</v>
      </c>
      <c r="M52" s="134">
        <f t="shared" si="42"/>
        <v>204.8</v>
      </c>
      <c r="N52" s="134">
        <v>36.630000000000003</v>
      </c>
      <c r="O52" s="134">
        <f t="shared" si="43"/>
        <v>146.52000000000001</v>
      </c>
      <c r="P52" s="134">
        <f t="shared" si="44"/>
        <v>87.83</v>
      </c>
      <c r="Q52" s="164">
        <f t="shared" si="45"/>
        <v>351.32</v>
      </c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</row>
    <row r="53" spans="1:36" s="30" customFormat="1">
      <c r="A53" s="83">
        <f>IF(F53&lt;&gt;"",1+MAX($A$2:A52),"")</f>
        <v>32</v>
      </c>
      <c r="B53" s="84"/>
      <c r="C53" s="85"/>
      <c r="D53" s="58" t="s">
        <v>83</v>
      </c>
      <c r="E53" s="61">
        <v>1</v>
      </c>
      <c r="F53" s="60">
        <v>0</v>
      </c>
      <c r="G53" s="55">
        <f t="shared" si="33"/>
        <v>1</v>
      </c>
      <c r="H53" s="59" t="s">
        <v>71</v>
      </c>
      <c r="I53" s="131">
        <v>0.5</v>
      </c>
      <c r="J53" s="132">
        <f t="shared" si="40"/>
        <v>0.5</v>
      </c>
      <c r="K53" s="133">
        <f>'LABOR SHEET'!C$3</f>
        <v>128</v>
      </c>
      <c r="L53" s="134">
        <f t="shared" si="41"/>
        <v>64</v>
      </c>
      <c r="M53" s="134">
        <f t="shared" si="42"/>
        <v>64</v>
      </c>
      <c r="N53" s="134">
        <f>3.44*40</f>
        <v>137.6</v>
      </c>
      <c r="O53" s="134">
        <f t="shared" si="43"/>
        <v>137.6</v>
      </c>
      <c r="P53" s="134">
        <f t="shared" si="44"/>
        <v>201.6</v>
      </c>
      <c r="Q53" s="164">
        <f t="shared" si="45"/>
        <v>201.6</v>
      </c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</row>
    <row r="54" spans="1:36" s="30" customFormat="1">
      <c r="A54" s="83">
        <f>IF(F54&lt;&gt;"",1+MAX($A$2:A53),"")</f>
        <v>33</v>
      </c>
      <c r="B54" s="84"/>
      <c r="C54" s="85"/>
      <c r="D54" s="58" t="s">
        <v>84</v>
      </c>
      <c r="E54" s="61">
        <v>1</v>
      </c>
      <c r="F54" s="60">
        <v>0</v>
      </c>
      <c r="G54" s="55">
        <f t="shared" si="33"/>
        <v>1</v>
      </c>
      <c r="H54" s="59" t="s">
        <v>71</v>
      </c>
      <c r="I54" s="131">
        <v>0.4</v>
      </c>
      <c r="J54" s="132">
        <f t="shared" si="40"/>
        <v>0.4</v>
      </c>
      <c r="K54" s="133">
        <f>'LABOR SHEET'!C$3</f>
        <v>128</v>
      </c>
      <c r="L54" s="134">
        <f t="shared" si="41"/>
        <v>51.2</v>
      </c>
      <c r="M54" s="134">
        <f t="shared" si="42"/>
        <v>51.2</v>
      </c>
      <c r="N54" s="134">
        <v>55</v>
      </c>
      <c r="O54" s="134">
        <f t="shared" si="43"/>
        <v>55</v>
      </c>
      <c r="P54" s="134">
        <f t="shared" si="44"/>
        <v>106.2</v>
      </c>
      <c r="Q54" s="164">
        <f t="shared" si="45"/>
        <v>106.2</v>
      </c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</row>
    <row r="55" spans="1:36" s="30" customFormat="1">
      <c r="A55" s="83">
        <f>IF(F55&lt;&gt;"",1+MAX($A$2:A54),"")</f>
        <v>34</v>
      </c>
      <c r="B55" s="84"/>
      <c r="C55" s="85"/>
      <c r="D55" s="58" t="s">
        <v>85</v>
      </c>
      <c r="E55" s="61">
        <v>2</v>
      </c>
      <c r="F55" s="60">
        <v>0</v>
      </c>
      <c r="G55" s="55">
        <f t="shared" si="33"/>
        <v>2</v>
      </c>
      <c r="H55" s="59" t="s">
        <v>71</v>
      </c>
      <c r="I55" s="131">
        <v>0.55000000000000004</v>
      </c>
      <c r="J55" s="132">
        <f t="shared" si="40"/>
        <v>1.1000000000000001</v>
      </c>
      <c r="K55" s="133">
        <f>'LABOR SHEET'!C$3</f>
        <v>128</v>
      </c>
      <c r="L55" s="134">
        <f t="shared" si="41"/>
        <v>70.400000000000006</v>
      </c>
      <c r="M55" s="134">
        <f t="shared" si="42"/>
        <v>140.80000000000001</v>
      </c>
      <c r="N55" s="134">
        <f>3.44*50</f>
        <v>172</v>
      </c>
      <c r="O55" s="134">
        <f t="shared" si="43"/>
        <v>344</v>
      </c>
      <c r="P55" s="134">
        <f t="shared" si="44"/>
        <v>242.4</v>
      </c>
      <c r="Q55" s="164">
        <f t="shared" si="45"/>
        <v>484.8</v>
      </c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</row>
    <row r="56" spans="1:36" s="30" customFormat="1">
      <c r="A56" s="83">
        <f>IF(F56&lt;&gt;"",1+MAX($A$2:A55),"")</f>
        <v>35</v>
      </c>
      <c r="B56" s="84"/>
      <c r="C56" s="85"/>
      <c r="D56" s="58" t="s">
        <v>86</v>
      </c>
      <c r="E56" s="61">
        <v>1</v>
      </c>
      <c r="F56" s="60">
        <v>0</v>
      </c>
      <c r="G56" s="55">
        <f t="shared" si="33"/>
        <v>1</v>
      </c>
      <c r="H56" s="59" t="s">
        <v>71</v>
      </c>
      <c r="I56" s="131">
        <v>0.55000000000000004</v>
      </c>
      <c r="J56" s="132">
        <f t="shared" si="40"/>
        <v>0.55000000000000004</v>
      </c>
      <c r="K56" s="133">
        <f>'LABOR SHEET'!C$3</f>
        <v>128</v>
      </c>
      <c r="L56" s="134">
        <f t="shared" si="41"/>
        <v>70.400000000000006</v>
      </c>
      <c r="M56" s="134">
        <f t="shared" si="42"/>
        <v>70.400000000000006</v>
      </c>
      <c r="N56" s="134">
        <f>3.44*60</f>
        <v>206.4</v>
      </c>
      <c r="O56" s="134">
        <f t="shared" si="43"/>
        <v>206.4</v>
      </c>
      <c r="P56" s="134">
        <f t="shared" si="44"/>
        <v>276.8</v>
      </c>
      <c r="Q56" s="164">
        <f t="shared" si="45"/>
        <v>276.8</v>
      </c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</row>
    <row r="57" spans="1:36" s="30" customFormat="1">
      <c r="A57" s="83">
        <f>IF(F57&lt;&gt;"",1+MAX($A$2:A56),"")</f>
        <v>36</v>
      </c>
      <c r="B57" s="84"/>
      <c r="C57" s="85"/>
      <c r="D57" s="58" t="s">
        <v>87</v>
      </c>
      <c r="E57" s="61">
        <v>1</v>
      </c>
      <c r="F57" s="60">
        <v>0</v>
      </c>
      <c r="G57" s="55">
        <f t="shared" si="33"/>
        <v>1</v>
      </c>
      <c r="H57" s="59" t="s">
        <v>71</v>
      </c>
      <c r="I57" s="131">
        <v>0.6</v>
      </c>
      <c r="J57" s="132">
        <f t="shared" si="40"/>
        <v>0.6</v>
      </c>
      <c r="K57" s="133">
        <f>'LABOR SHEET'!C$3</f>
        <v>128</v>
      </c>
      <c r="L57" s="134">
        <f t="shared" si="41"/>
        <v>76.8</v>
      </c>
      <c r="M57" s="134">
        <f t="shared" si="42"/>
        <v>76.8</v>
      </c>
      <c r="N57" s="134">
        <f>3.44*80</f>
        <v>275.2</v>
      </c>
      <c r="O57" s="134">
        <f t="shared" si="43"/>
        <v>275.2</v>
      </c>
      <c r="P57" s="134">
        <f t="shared" si="44"/>
        <v>352</v>
      </c>
      <c r="Q57" s="164">
        <f t="shared" si="45"/>
        <v>352</v>
      </c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</row>
    <row r="58" spans="1:36" s="30" customFormat="1">
      <c r="A58" s="83">
        <f>IF(F58&lt;&gt;"",1+MAX($A$2:A57),"")</f>
        <v>37</v>
      </c>
      <c r="B58" s="84"/>
      <c r="C58" s="85"/>
      <c r="D58" s="58" t="s">
        <v>88</v>
      </c>
      <c r="E58" s="61">
        <v>1</v>
      </c>
      <c r="F58" s="60">
        <v>0</v>
      </c>
      <c r="G58" s="55">
        <f t="shared" si="33"/>
        <v>1</v>
      </c>
      <c r="H58" s="59" t="s">
        <v>71</v>
      </c>
      <c r="I58" s="131">
        <v>0.7</v>
      </c>
      <c r="J58" s="132">
        <f t="shared" si="40"/>
        <v>0.7</v>
      </c>
      <c r="K58" s="133">
        <f>'LABOR SHEET'!C$3</f>
        <v>128</v>
      </c>
      <c r="L58" s="134">
        <f t="shared" si="41"/>
        <v>89.6</v>
      </c>
      <c r="M58" s="134">
        <f t="shared" si="42"/>
        <v>89.6</v>
      </c>
      <c r="N58" s="134">
        <f>3.44*90</f>
        <v>309.60000000000002</v>
      </c>
      <c r="O58" s="134">
        <f t="shared" si="43"/>
        <v>309.60000000000002</v>
      </c>
      <c r="P58" s="134">
        <f t="shared" si="44"/>
        <v>399.2</v>
      </c>
      <c r="Q58" s="164">
        <f t="shared" si="45"/>
        <v>399.2</v>
      </c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</row>
    <row r="59" spans="1:36" s="30" customFormat="1">
      <c r="A59" s="83">
        <f>IF(F59&lt;&gt;"",1+MAX($A$2:A58),"")</f>
        <v>38</v>
      </c>
      <c r="B59" s="84"/>
      <c r="C59" s="85"/>
      <c r="D59" s="58" t="s">
        <v>89</v>
      </c>
      <c r="E59" s="61">
        <v>4</v>
      </c>
      <c r="F59" s="60">
        <v>0</v>
      </c>
      <c r="G59" s="55">
        <f t="shared" si="33"/>
        <v>4</v>
      </c>
      <c r="H59" s="59" t="s">
        <v>71</v>
      </c>
      <c r="I59" s="131">
        <v>1</v>
      </c>
      <c r="J59" s="132">
        <f t="shared" si="40"/>
        <v>4</v>
      </c>
      <c r="K59" s="133">
        <f>'LABOR SHEET'!C$3</f>
        <v>128</v>
      </c>
      <c r="L59" s="134">
        <f t="shared" si="41"/>
        <v>128</v>
      </c>
      <c r="M59" s="134">
        <f t="shared" si="42"/>
        <v>512</v>
      </c>
      <c r="N59" s="134">
        <v>344.8</v>
      </c>
      <c r="O59" s="134">
        <f t="shared" si="43"/>
        <v>1379.2</v>
      </c>
      <c r="P59" s="134">
        <f t="shared" si="44"/>
        <v>472.8</v>
      </c>
      <c r="Q59" s="164">
        <f t="shared" si="45"/>
        <v>1891.2</v>
      </c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</row>
    <row r="60" spans="1:36" s="30" customFormat="1">
      <c r="A60" s="83">
        <f>IF(F60&lt;&gt;"",1+MAX($A$2:A59),"")</f>
        <v>39</v>
      </c>
      <c r="B60" s="84"/>
      <c r="C60" s="85"/>
      <c r="D60" s="58" t="s">
        <v>90</v>
      </c>
      <c r="E60" s="61">
        <v>12</v>
      </c>
      <c r="F60" s="60">
        <v>0</v>
      </c>
      <c r="G60" s="55">
        <f t="shared" si="33"/>
        <v>12</v>
      </c>
      <c r="H60" s="59" t="s">
        <v>71</v>
      </c>
      <c r="I60" s="131">
        <v>1</v>
      </c>
      <c r="J60" s="132">
        <f t="shared" si="40"/>
        <v>12</v>
      </c>
      <c r="K60" s="133">
        <f>'LABOR SHEET'!C$3</f>
        <v>128</v>
      </c>
      <c r="L60" s="134">
        <f t="shared" si="41"/>
        <v>128</v>
      </c>
      <c r="M60" s="134">
        <f t="shared" si="42"/>
        <v>1536</v>
      </c>
      <c r="N60" s="134">
        <v>344.8</v>
      </c>
      <c r="O60" s="134">
        <f t="shared" si="43"/>
        <v>4137.6000000000004</v>
      </c>
      <c r="P60" s="134">
        <f t="shared" si="44"/>
        <v>472.8</v>
      </c>
      <c r="Q60" s="164">
        <f t="shared" si="45"/>
        <v>5673.6</v>
      </c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</row>
    <row r="61" spans="1:36" s="30" customFormat="1">
      <c r="A61" s="83">
        <f>IF(F61&lt;&gt;"",1+MAX($A$2:A60),"")</f>
        <v>40</v>
      </c>
      <c r="B61" s="84"/>
      <c r="C61" s="85"/>
      <c r="D61" s="58" t="s">
        <v>91</v>
      </c>
      <c r="E61" s="61">
        <v>4</v>
      </c>
      <c r="F61" s="60">
        <v>0</v>
      </c>
      <c r="G61" s="55">
        <f t="shared" si="33"/>
        <v>4</v>
      </c>
      <c r="H61" s="59" t="s">
        <v>71</v>
      </c>
      <c r="I61" s="131">
        <v>2.85</v>
      </c>
      <c r="J61" s="132">
        <f t="shared" si="40"/>
        <v>11.4</v>
      </c>
      <c r="K61" s="133">
        <f>'LABOR SHEET'!C$3</f>
        <v>128</v>
      </c>
      <c r="L61" s="134">
        <f t="shared" si="41"/>
        <v>364.8</v>
      </c>
      <c r="M61" s="134">
        <f t="shared" si="42"/>
        <v>1459.2</v>
      </c>
      <c r="N61" s="134">
        <v>1726.92</v>
      </c>
      <c r="O61" s="134">
        <f t="shared" si="43"/>
        <v>6907.68</v>
      </c>
      <c r="P61" s="134">
        <f t="shared" si="44"/>
        <v>2091.7199999999998</v>
      </c>
      <c r="Q61" s="164">
        <f t="shared" si="45"/>
        <v>8366.8799999999992</v>
      </c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</row>
    <row r="62" spans="1:36" s="30" customFormat="1">
      <c r="A62" s="83">
        <f>IF(F62&lt;&gt;"",1+MAX($A$2:A61),"")</f>
        <v>41</v>
      </c>
      <c r="B62" s="84"/>
      <c r="C62" s="85"/>
      <c r="D62" s="58" t="s">
        <v>92</v>
      </c>
      <c r="E62" s="61">
        <v>10</v>
      </c>
      <c r="F62" s="60">
        <v>0</v>
      </c>
      <c r="G62" s="55">
        <f t="shared" si="33"/>
        <v>10</v>
      </c>
      <c r="H62" s="59" t="s">
        <v>71</v>
      </c>
      <c r="I62" s="131">
        <v>2.85</v>
      </c>
      <c r="J62" s="132">
        <f t="shared" si="40"/>
        <v>28.5</v>
      </c>
      <c r="K62" s="133">
        <f>'LABOR SHEET'!C$3</f>
        <v>128</v>
      </c>
      <c r="L62" s="134">
        <f t="shared" si="41"/>
        <v>364.8</v>
      </c>
      <c r="M62" s="134">
        <f t="shared" si="42"/>
        <v>3648</v>
      </c>
      <c r="N62" s="134">
        <v>1726.92</v>
      </c>
      <c r="O62" s="134">
        <f t="shared" si="43"/>
        <v>17269.2</v>
      </c>
      <c r="P62" s="134">
        <f t="shared" si="44"/>
        <v>2091.7199999999998</v>
      </c>
      <c r="Q62" s="164">
        <f t="shared" si="45"/>
        <v>20917.2</v>
      </c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</row>
    <row r="63" spans="1:36" s="30" customFormat="1">
      <c r="A63" s="83">
        <f>IF(F63&lt;&gt;"",1+MAX($A$2:A62),"")</f>
        <v>42</v>
      </c>
      <c r="B63" s="84"/>
      <c r="C63" s="85"/>
      <c r="D63" s="58" t="s">
        <v>93</v>
      </c>
      <c r="E63" s="61">
        <v>2</v>
      </c>
      <c r="F63" s="60">
        <v>0</v>
      </c>
      <c r="G63" s="55">
        <f t="shared" si="33"/>
        <v>2</v>
      </c>
      <c r="H63" s="59" t="s">
        <v>71</v>
      </c>
      <c r="I63" s="131">
        <v>5.5</v>
      </c>
      <c r="J63" s="132">
        <f t="shared" si="40"/>
        <v>11</v>
      </c>
      <c r="K63" s="133">
        <f>'LABOR SHEET'!C$3</f>
        <v>128</v>
      </c>
      <c r="L63" s="134">
        <f t="shared" si="41"/>
        <v>704</v>
      </c>
      <c r="M63" s="134">
        <f t="shared" si="42"/>
        <v>1408</v>
      </c>
      <c r="N63" s="134">
        <v>5308.35</v>
      </c>
      <c r="O63" s="134">
        <f t="shared" si="43"/>
        <v>10616.7</v>
      </c>
      <c r="P63" s="134">
        <f t="shared" si="44"/>
        <v>6012.35</v>
      </c>
      <c r="Q63" s="164">
        <f t="shared" si="45"/>
        <v>12024.7</v>
      </c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</row>
    <row r="64" spans="1:36" s="30" customFormat="1">
      <c r="A64" s="83">
        <f>IF(F64&lt;&gt;"",1+MAX($A$2:A63),"")</f>
        <v>43</v>
      </c>
      <c r="B64" s="84"/>
      <c r="C64" s="85"/>
      <c r="D64" s="58" t="s">
        <v>94</v>
      </c>
      <c r="E64" s="61">
        <v>4</v>
      </c>
      <c r="F64" s="60">
        <v>0</v>
      </c>
      <c r="G64" s="55">
        <f t="shared" si="33"/>
        <v>4</v>
      </c>
      <c r="H64" s="59" t="s">
        <v>71</v>
      </c>
      <c r="I64" s="131">
        <v>5.5</v>
      </c>
      <c r="J64" s="132">
        <f t="shared" si="40"/>
        <v>22</v>
      </c>
      <c r="K64" s="133">
        <f>'LABOR SHEET'!C$3</f>
        <v>128</v>
      </c>
      <c r="L64" s="134">
        <f t="shared" si="41"/>
        <v>704</v>
      </c>
      <c r="M64" s="134">
        <f t="shared" si="42"/>
        <v>2816</v>
      </c>
      <c r="N64" s="134">
        <v>5308.35</v>
      </c>
      <c r="O64" s="134">
        <f t="shared" si="43"/>
        <v>21233.4</v>
      </c>
      <c r="P64" s="134">
        <f t="shared" si="44"/>
        <v>6012.35</v>
      </c>
      <c r="Q64" s="164">
        <f t="shared" si="45"/>
        <v>24049.4</v>
      </c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</row>
    <row r="65" spans="1:36" s="30" customFormat="1">
      <c r="A65" s="83">
        <f>IF(F65&lt;&gt;"",1+MAX($A$2:A64),"")</f>
        <v>44</v>
      </c>
      <c r="B65" s="84"/>
      <c r="C65" s="85"/>
      <c r="D65" s="58" t="s">
        <v>95</v>
      </c>
      <c r="E65" s="61">
        <v>1</v>
      </c>
      <c r="F65" s="60">
        <v>0</v>
      </c>
      <c r="G65" s="55">
        <f t="shared" si="33"/>
        <v>1</v>
      </c>
      <c r="H65" s="59" t="s">
        <v>71</v>
      </c>
      <c r="I65" s="131">
        <v>6.6</v>
      </c>
      <c r="J65" s="132">
        <f t="shared" si="40"/>
        <v>6.6</v>
      </c>
      <c r="K65" s="133">
        <f>'LABOR SHEET'!C$3</f>
        <v>128</v>
      </c>
      <c r="L65" s="134">
        <f t="shared" si="41"/>
        <v>844.8</v>
      </c>
      <c r="M65" s="134">
        <f t="shared" si="42"/>
        <v>844.8</v>
      </c>
      <c r="N65" s="134">
        <v>11600</v>
      </c>
      <c r="O65" s="134">
        <f t="shared" si="43"/>
        <v>11600</v>
      </c>
      <c r="P65" s="134">
        <f t="shared" si="44"/>
        <v>12444.8</v>
      </c>
      <c r="Q65" s="164">
        <f t="shared" si="45"/>
        <v>12444.8</v>
      </c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</row>
    <row r="66" spans="1:36" s="30" customFormat="1">
      <c r="A66" s="83">
        <f>IF(F66&lt;&gt;"",1+MAX($A$2:A65),"")</f>
        <v>45</v>
      </c>
      <c r="B66" s="84"/>
      <c r="C66" s="85"/>
      <c r="D66" s="58" t="s">
        <v>96</v>
      </c>
      <c r="E66" s="61">
        <v>1</v>
      </c>
      <c r="F66" s="60">
        <v>0</v>
      </c>
      <c r="G66" s="55">
        <f t="shared" si="33"/>
        <v>1</v>
      </c>
      <c r="H66" s="59" t="s">
        <v>71</v>
      </c>
      <c r="I66" s="131">
        <v>8.5</v>
      </c>
      <c r="J66" s="132">
        <f t="shared" si="40"/>
        <v>8.5</v>
      </c>
      <c r="K66" s="133">
        <f>'LABOR SHEET'!C$3</f>
        <v>128</v>
      </c>
      <c r="L66" s="134">
        <f t="shared" si="41"/>
        <v>1088</v>
      </c>
      <c r="M66" s="134">
        <f t="shared" si="42"/>
        <v>1088</v>
      </c>
      <c r="N66" s="134">
        <v>16260.86</v>
      </c>
      <c r="O66" s="134">
        <f t="shared" si="43"/>
        <v>16260.86</v>
      </c>
      <c r="P66" s="134">
        <f t="shared" si="44"/>
        <v>17348.86</v>
      </c>
      <c r="Q66" s="164">
        <f t="shared" si="45"/>
        <v>17348.86</v>
      </c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</row>
    <row r="67" spans="1:36" s="30" customFormat="1">
      <c r="A67" s="83" t="str">
        <f>IF(F67&lt;&gt;"",1+MAX($A$2:A66),"")</f>
        <v/>
      </c>
      <c r="B67" s="84"/>
      <c r="C67" s="85"/>
      <c r="D67" s="58"/>
      <c r="E67" s="61"/>
      <c r="F67" s="86"/>
      <c r="G67" s="87"/>
      <c r="H67" s="59"/>
      <c r="I67" s="131"/>
      <c r="J67" s="132"/>
      <c r="K67" s="133"/>
      <c r="L67" s="134"/>
      <c r="M67" s="134"/>
      <c r="N67" s="134"/>
      <c r="O67" s="134"/>
      <c r="P67" s="134"/>
      <c r="Q67" s="165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</row>
    <row r="68" spans="1:36" s="30" customFormat="1">
      <c r="A68" s="83" t="str">
        <f>IF(F68&lt;&gt;"",1+MAX($A$2:A67),"")</f>
        <v/>
      </c>
      <c r="B68" s="84"/>
      <c r="C68" s="85"/>
      <c r="D68" s="79" t="s">
        <v>97</v>
      </c>
      <c r="E68" s="61"/>
      <c r="F68" s="86"/>
      <c r="G68" s="87"/>
      <c r="H68" s="59"/>
      <c r="I68" s="131"/>
      <c r="J68" s="132"/>
      <c r="K68" s="133"/>
      <c r="L68" s="134"/>
      <c r="M68" s="134"/>
      <c r="N68" s="134"/>
      <c r="O68" s="134"/>
      <c r="P68" s="134"/>
      <c r="Q68" s="165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</row>
    <row r="69" spans="1:36" s="30" customFormat="1" ht="31.2">
      <c r="A69" s="83">
        <f>IF(F69&lt;&gt;"",1+MAX($A$2:A68),"")</f>
        <v>46</v>
      </c>
      <c r="B69" s="84"/>
      <c r="C69" s="85"/>
      <c r="D69" s="58" t="s">
        <v>98</v>
      </c>
      <c r="E69" s="61">
        <v>1</v>
      </c>
      <c r="F69" s="60">
        <v>0</v>
      </c>
      <c r="G69" s="55">
        <f t="shared" ref="G69:G81" si="46">(F69*E69)+E69</f>
        <v>1</v>
      </c>
      <c r="H69" s="59" t="s">
        <v>71</v>
      </c>
      <c r="I69" s="131">
        <v>40</v>
      </c>
      <c r="J69" s="132">
        <f t="shared" ref="J69:J75" si="47">+I69*G69</f>
        <v>40</v>
      </c>
      <c r="K69" s="133">
        <f>'LABOR SHEET'!C$3</f>
        <v>128</v>
      </c>
      <c r="L69" s="134">
        <f t="shared" ref="L69:L75" si="48">I69*K69</f>
        <v>5120</v>
      </c>
      <c r="M69" s="134">
        <f t="shared" ref="M69:M75" si="49">K69*J69</f>
        <v>5120</v>
      </c>
      <c r="N69" s="134">
        <v>19440</v>
      </c>
      <c r="O69" s="134">
        <f t="shared" ref="O69:O75" si="50">N69*G69</f>
        <v>19440</v>
      </c>
      <c r="P69" s="134">
        <f t="shared" ref="P69:P75" si="51">(I69*K69)+N69</f>
        <v>24560</v>
      </c>
      <c r="Q69" s="164">
        <f t="shared" ref="Q69:Q75" si="52">P69*G69</f>
        <v>24560</v>
      </c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</row>
    <row r="70" spans="1:36" s="30" customFormat="1" ht="31.2">
      <c r="A70" s="83">
        <f>IF(F70&lt;&gt;"",1+MAX($A$2:A69),"")</f>
        <v>47</v>
      </c>
      <c r="B70" s="84"/>
      <c r="C70" s="85"/>
      <c r="D70" s="58" t="s">
        <v>99</v>
      </c>
      <c r="E70" s="61">
        <v>1</v>
      </c>
      <c r="F70" s="60">
        <v>0</v>
      </c>
      <c r="G70" s="55">
        <f t="shared" si="46"/>
        <v>1</v>
      </c>
      <c r="H70" s="59" t="s">
        <v>71</v>
      </c>
      <c r="I70" s="131">
        <v>55</v>
      </c>
      <c r="J70" s="132">
        <f t="shared" si="47"/>
        <v>55</v>
      </c>
      <c r="K70" s="133">
        <f>'LABOR SHEET'!C$3</f>
        <v>128</v>
      </c>
      <c r="L70" s="134">
        <f t="shared" si="48"/>
        <v>7040</v>
      </c>
      <c r="M70" s="134">
        <f t="shared" si="49"/>
        <v>7040</v>
      </c>
      <c r="N70" s="134">
        <v>35280</v>
      </c>
      <c r="O70" s="134">
        <f t="shared" si="50"/>
        <v>35280</v>
      </c>
      <c r="P70" s="134">
        <f t="shared" si="51"/>
        <v>42320</v>
      </c>
      <c r="Q70" s="164">
        <f t="shared" si="52"/>
        <v>42320</v>
      </c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</row>
    <row r="71" spans="1:36" s="30" customFormat="1" ht="31.2">
      <c r="A71" s="83">
        <f>IF(F71&lt;&gt;"",1+MAX($A$2:A70),"")</f>
        <v>48</v>
      </c>
      <c r="B71" s="84"/>
      <c r="C71" s="85"/>
      <c r="D71" s="58" t="s">
        <v>100</v>
      </c>
      <c r="E71" s="61">
        <v>1</v>
      </c>
      <c r="F71" s="60">
        <v>0</v>
      </c>
      <c r="G71" s="55">
        <f t="shared" si="46"/>
        <v>1</v>
      </c>
      <c r="H71" s="59" t="s">
        <v>71</v>
      </c>
      <c r="I71" s="131">
        <v>35</v>
      </c>
      <c r="J71" s="132">
        <f t="shared" si="47"/>
        <v>35</v>
      </c>
      <c r="K71" s="133">
        <f>'LABOR SHEET'!C$3</f>
        <v>128</v>
      </c>
      <c r="L71" s="134">
        <f t="shared" si="48"/>
        <v>4480</v>
      </c>
      <c r="M71" s="134">
        <f t="shared" si="49"/>
        <v>4480</v>
      </c>
      <c r="N71" s="134">
        <v>12600.45</v>
      </c>
      <c r="O71" s="134">
        <f t="shared" si="50"/>
        <v>12600.45</v>
      </c>
      <c r="P71" s="134">
        <f t="shared" si="51"/>
        <v>17080.45</v>
      </c>
      <c r="Q71" s="164">
        <f t="shared" si="52"/>
        <v>17080.45</v>
      </c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</row>
    <row r="72" spans="1:36" s="30" customFormat="1" ht="31.2">
      <c r="A72" s="83">
        <f>IF(F72&lt;&gt;"",1+MAX($A$2:A71),"")</f>
        <v>49</v>
      </c>
      <c r="B72" s="84"/>
      <c r="C72" s="85"/>
      <c r="D72" s="58" t="s">
        <v>101</v>
      </c>
      <c r="E72" s="61">
        <v>1</v>
      </c>
      <c r="F72" s="60">
        <v>0</v>
      </c>
      <c r="G72" s="55">
        <f t="shared" si="46"/>
        <v>1</v>
      </c>
      <c r="H72" s="59" t="s">
        <v>71</v>
      </c>
      <c r="I72" s="131">
        <v>15</v>
      </c>
      <c r="J72" s="132">
        <f t="shared" si="47"/>
        <v>15</v>
      </c>
      <c r="K72" s="133">
        <f>'LABOR SHEET'!C$3</f>
        <v>128</v>
      </c>
      <c r="L72" s="134">
        <f t="shared" si="48"/>
        <v>1920</v>
      </c>
      <c r="M72" s="134">
        <f t="shared" si="49"/>
        <v>1920</v>
      </c>
      <c r="N72" s="134">
        <v>5630.7</v>
      </c>
      <c r="O72" s="134">
        <f t="shared" si="50"/>
        <v>5630.7</v>
      </c>
      <c r="P72" s="134">
        <f t="shared" si="51"/>
        <v>7550.7</v>
      </c>
      <c r="Q72" s="164">
        <f t="shared" si="52"/>
        <v>7550.7</v>
      </c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</row>
    <row r="73" spans="1:36" s="30" customFormat="1" ht="31.2">
      <c r="A73" s="83">
        <f>IF(F73&lt;&gt;"",1+MAX($A$2:A72),"")</f>
        <v>50</v>
      </c>
      <c r="B73" s="84"/>
      <c r="C73" s="85"/>
      <c r="D73" s="58" t="s">
        <v>102</v>
      </c>
      <c r="E73" s="61">
        <v>1</v>
      </c>
      <c r="F73" s="60">
        <v>0</v>
      </c>
      <c r="G73" s="55">
        <f t="shared" si="46"/>
        <v>1</v>
      </c>
      <c r="H73" s="59" t="s">
        <v>71</v>
      </c>
      <c r="I73" s="131">
        <v>15</v>
      </c>
      <c r="J73" s="132">
        <f t="shared" ref="J73:J74" si="53">+I73*G73</f>
        <v>15</v>
      </c>
      <c r="K73" s="133">
        <f>'LABOR SHEET'!C$3</f>
        <v>128</v>
      </c>
      <c r="L73" s="134">
        <f t="shared" ref="L73:L74" si="54">I73*K73</f>
        <v>1920</v>
      </c>
      <c r="M73" s="134">
        <f t="shared" ref="M73:M74" si="55">K73*J73</f>
        <v>1920</v>
      </c>
      <c r="N73" s="134">
        <v>5630.7</v>
      </c>
      <c r="O73" s="134">
        <f t="shared" ref="O73:O74" si="56">N73*G73</f>
        <v>5630.7</v>
      </c>
      <c r="P73" s="134">
        <f t="shared" ref="P73:P74" si="57">(I73*K73)+N73</f>
        <v>7550.7</v>
      </c>
      <c r="Q73" s="164">
        <f t="shared" ref="Q73:Q74" si="58">P73*G73</f>
        <v>7550.7</v>
      </c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</row>
    <row r="74" spans="1:36" s="30" customFormat="1" ht="31.2">
      <c r="A74" s="83">
        <f>IF(F74&lt;&gt;"",1+MAX($A$2:A73),"")</f>
        <v>51</v>
      </c>
      <c r="B74" s="84"/>
      <c r="C74" s="85"/>
      <c r="D74" s="58" t="s">
        <v>103</v>
      </c>
      <c r="E74" s="61">
        <v>1</v>
      </c>
      <c r="F74" s="60">
        <v>0</v>
      </c>
      <c r="G74" s="55">
        <f t="shared" si="46"/>
        <v>1</v>
      </c>
      <c r="H74" s="59" t="s">
        <v>71</v>
      </c>
      <c r="I74" s="131">
        <v>15</v>
      </c>
      <c r="J74" s="132">
        <f t="shared" si="53"/>
        <v>15</v>
      </c>
      <c r="K74" s="133">
        <f>'LABOR SHEET'!C$3</f>
        <v>128</v>
      </c>
      <c r="L74" s="134">
        <f t="shared" si="54"/>
        <v>1920</v>
      </c>
      <c r="M74" s="134">
        <f t="shared" si="55"/>
        <v>1920</v>
      </c>
      <c r="N74" s="134">
        <v>5630.7</v>
      </c>
      <c r="O74" s="134">
        <f t="shared" si="56"/>
        <v>5630.7</v>
      </c>
      <c r="P74" s="134">
        <f t="shared" si="57"/>
        <v>7550.7</v>
      </c>
      <c r="Q74" s="164">
        <f t="shared" si="58"/>
        <v>7550.7</v>
      </c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</row>
    <row r="75" spans="1:36" s="30" customFormat="1" ht="31.2">
      <c r="A75" s="83">
        <f>IF(F75&lt;&gt;"",1+MAX($A$2:A74),"")</f>
        <v>52</v>
      </c>
      <c r="B75" s="84"/>
      <c r="C75" s="85"/>
      <c r="D75" s="58" t="s">
        <v>104</v>
      </c>
      <c r="E75" s="61">
        <v>1</v>
      </c>
      <c r="F75" s="60">
        <v>0</v>
      </c>
      <c r="G75" s="55">
        <f t="shared" si="46"/>
        <v>1</v>
      </c>
      <c r="H75" s="59" t="s">
        <v>71</v>
      </c>
      <c r="I75" s="131">
        <v>8.5</v>
      </c>
      <c r="J75" s="132">
        <f t="shared" si="47"/>
        <v>8.5</v>
      </c>
      <c r="K75" s="133">
        <f>'LABOR SHEET'!C$3</f>
        <v>128</v>
      </c>
      <c r="L75" s="134">
        <f t="shared" si="48"/>
        <v>1088</v>
      </c>
      <c r="M75" s="134">
        <f t="shared" si="49"/>
        <v>1088</v>
      </c>
      <c r="N75" s="134">
        <v>1076.44</v>
      </c>
      <c r="O75" s="134">
        <f t="shared" si="50"/>
        <v>1076.44</v>
      </c>
      <c r="P75" s="134">
        <f t="shared" si="51"/>
        <v>2164.44</v>
      </c>
      <c r="Q75" s="164">
        <f t="shared" si="52"/>
        <v>2164.44</v>
      </c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</row>
    <row r="76" spans="1:36" s="30" customFormat="1" ht="31.2">
      <c r="A76" s="83">
        <f>IF(F76&lt;&gt;"",1+MAX($A$2:A75),"")</f>
        <v>53</v>
      </c>
      <c r="B76" s="84"/>
      <c r="C76" s="85"/>
      <c r="D76" s="58" t="s">
        <v>105</v>
      </c>
      <c r="E76" s="61">
        <v>1</v>
      </c>
      <c r="F76" s="60">
        <v>0</v>
      </c>
      <c r="G76" s="55">
        <f t="shared" si="46"/>
        <v>1</v>
      </c>
      <c r="H76" s="59" t="s">
        <v>71</v>
      </c>
      <c r="I76" s="131">
        <v>8.5</v>
      </c>
      <c r="J76" s="132">
        <f t="shared" ref="J76:J77" si="59">+I76*G76</f>
        <v>8.5</v>
      </c>
      <c r="K76" s="133">
        <f>'LABOR SHEET'!C$3</f>
        <v>128</v>
      </c>
      <c r="L76" s="134">
        <f t="shared" ref="L76:L77" si="60">I76*K76</f>
        <v>1088</v>
      </c>
      <c r="M76" s="134">
        <f t="shared" ref="M76:M77" si="61">K76*J76</f>
        <v>1088</v>
      </c>
      <c r="N76" s="134">
        <v>1076.44</v>
      </c>
      <c r="O76" s="134">
        <f t="shared" ref="O76:O77" si="62">N76*G76</f>
        <v>1076.44</v>
      </c>
      <c r="P76" s="134">
        <f t="shared" ref="P76:P77" si="63">(I76*K76)+N76</f>
        <v>2164.44</v>
      </c>
      <c r="Q76" s="164">
        <f t="shared" ref="Q76:Q77" si="64">P76*G76</f>
        <v>2164.44</v>
      </c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</row>
    <row r="77" spans="1:36" s="30" customFormat="1" ht="31.2">
      <c r="A77" s="83">
        <f>IF(F77&lt;&gt;"",1+MAX($A$2:A76),"")</f>
        <v>54</v>
      </c>
      <c r="B77" s="84"/>
      <c r="C77" s="85"/>
      <c r="D77" s="58" t="s">
        <v>106</v>
      </c>
      <c r="E77" s="61">
        <v>1</v>
      </c>
      <c r="F77" s="60">
        <v>0</v>
      </c>
      <c r="G77" s="55">
        <f t="shared" si="46"/>
        <v>1</v>
      </c>
      <c r="H77" s="59" t="s">
        <v>71</v>
      </c>
      <c r="I77" s="131">
        <v>35</v>
      </c>
      <c r="J77" s="132">
        <f t="shared" si="59"/>
        <v>35</v>
      </c>
      <c r="K77" s="133">
        <f>'LABOR SHEET'!C$3</f>
        <v>128</v>
      </c>
      <c r="L77" s="134">
        <f t="shared" si="60"/>
        <v>4480</v>
      </c>
      <c r="M77" s="134">
        <f t="shared" si="61"/>
        <v>4480</v>
      </c>
      <c r="N77" s="134">
        <v>12600.45</v>
      </c>
      <c r="O77" s="134">
        <f t="shared" si="62"/>
        <v>12600.45</v>
      </c>
      <c r="P77" s="134">
        <f t="shared" si="63"/>
        <v>17080.45</v>
      </c>
      <c r="Q77" s="164">
        <f t="shared" si="64"/>
        <v>17080.45</v>
      </c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</row>
    <row r="78" spans="1:36" s="30" customFormat="1" ht="31.2">
      <c r="A78" s="83">
        <f>IF(F78&lt;&gt;"",1+MAX($A$2:A77),"")</f>
        <v>55</v>
      </c>
      <c r="B78" s="84"/>
      <c r="C78" s="85"/>
      <c r="D78" s="58" t="s">
        <v>107</v>
      </c>
      <c r="E78" s="61">
        <v>1</v>
      </c>
      <c r="F78" s="60">
        <v>0</v>
      </c>
      <c r="G78" s="55">
        <f t="shared" si="46"/>
        <v>1</v>
      </c>
      <c r="H78" s="59" t="s">
        <v>71</v>
      </c>
      <c r="I78" s="131">
        <v>15</v>
      </c>
      <c r="J78" s="132">
        <f t="shared" ref="J78:J81" si="65">+I78*G78</f>
        <v>15</v>
      </c>
      <c r="K78" s="133">
        <f>'LABOR SHEET'!C$3</f>
        <v>128</v>
      </c>
      <c r="L78" s="134">
        <f t="shared" ref="L78:L81" si="66">I78*K78</f>
        <v>1920</v>
      </c>
      <c r="M78" s="134">
        <f t="shared" ref="M78:M81" si="67">K78*J78</f>
        <v>1920</v>
      </c>
      <c r="N78" s="134">
        <v>5630.7</v>
      </c>
      <c r="O78" s="134">
        <f t="shared" ref="O78:O81" si="68">N78*G78</f>
        <v>5630.7</v>
      </c>
      <c r="P78" s="134">
        <f t="shared" ref="P78:P81" si="69">(I78*K78)+N78</f>
        <v>7550.7</v>
      </c>
      <c r="Q78" s="164">
        <f t="shared" ref="Q78:Q81" si="70">P78*G78</f>
        <v>7550.7</v>
      </c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</row>
    <row r="79" spans="1:36" s="30" customFormat="1" ht="31.2">
      <c r="A79" s="83">
        <f>IF(F79&lt;&gt;"",1+MAX($A$2:A78),"")</f>
        <v>56</v>
      </c>
      <c r="B79" s="84"/>
      <c r="C79" s="85"/>
      <c r="D79" s="58" t="s">
        <v>108</v>
      </c>
      <c r="E79" s="61">
        <v>1</v>
      </c>
      <c r="F79" s="60">
        <v>0</v>
      </c>
      <c r="G79" s="55">
        <f t="shared" si="46"/>
        <v>1</v>
      </c>
      <c r="H79" s="59" t="s">
        <v>71</v>
      </c>
      <c r="I79" s="131">
        <v>15</v>
      </c>
      <c r="J79" s="132">
        <f t="shared" si="65"/>
        <v>15</v>
      </c>
      <c r="K79" s="133">
        <f>'LABOR SHEET'!C$3</f>
        <v>128</v>
      </c>
      <c r="L79" s="134">
        <f t="shared" si="66"/>
        <v>1920</v>
      </c>
      <c r="M79" s="134">
        <f t="shared" si="67"/>
        <v>1920</v>
      </c>
      <c r="N79" s="134">
        <v>5630.7</v>
      </c>
      <c r="O79" s="134">
        <f t="shared" si="68"/>
        <v>5630.7</v>
      </c>
      <c r="P79" s="134">
        <f t="shared" si="69"/>
        <v>7550.7</v>
      </c>
      <c r="Q79" s="164">
        <f t="shared" si="70"/>
        <v>7550.7</v>
      </c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</row>
    <row r="80" spans="1:36" s="30" customFormat="1" ht="31.2">
      <c r="A80" s="83">
        <f>IF(F80&lt;&gt;"",1+MAX($A$2:A79),"")</f>
        <v>57</v>
      </c>
      <c r="B80" s="84"/>
      <c r="C80" s="85"/>
      <c r="D80" s="58" t="s">
        <v>109</v>
      </c>
      <c r="E80" s="61">
        <v>1</v>
      </c>
      <c r="F80" s="60">
        <v>0</v>
      </c>
      <c r="G80" s="55">
        <f t="shared" si="46"/>
        <v>1</v>
      </c>
      <c r="H80" s="59" t="s">
        <v>71</v>
      </c>
      <c r="I80" s="131">
        <v>8.5</v>
      </c>
      <c r="J80" s="132">
        <f t="shared" si="65"/>
        <v>8.5</v>
      </c>
      <c r="K80" s="133">
        <f>'LABOR SHEET'!C$3</f>
        <v>128</v>
      </c>
      <c r="L80" s="134">
        <f t="shared" si="66"/>
        <v>1088</v>
      </c>
      <c r="M80" s="134">
        <f t="shared" si="67"/>
        <v>1088</v>
      </c>
      <c r="N80" s="134">
        <v>1076.44</v>
      </c>
      <c r="O80" s="134">
        <f t="shared" si="68"/>
        <v>1076.44</v>
      </c>
      <c r="P80" s="134">
        <f t="shared" si="69"/>
        <v>2164.44</v>
      </c>
      <c r="Q80" s="164">
        <f t="shared" si="70"/>
        <v>2164.44</v>
      </c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</row>
    <row r="81" spans="1:36" s="30" customFormat="1" ht="31.2">
      <c r="A81" s="83">
        <f>IF(F81&lt;&gt;"",1+MAX($A$2:A80),"")</f>
        <v>58</v>
      </c>
      <c r="B81" s="84"/>
      <c r="C81" s="85"/>
      <c r="D81" s="58" t="s">
        <v>110</v>
      </c>
      <c r="E81" s="61">
        <v>1</v>
      </c>
      <c r="F81" s="60">
        <v>0</v>
      </c>
      <c r="G81" s="55">
        <f t="shared" si="46"/>
        <v>1</v>
      </c>
      <c r="H81" s="59" t="s">
        <v>71</v>
      </c>
      <c r="I81" s="131">
        <v>8.5</v>
      </c>
      <c r="J81" s="132">
        <f t="shared" si="65"/>
        <v>8.5</v>
      </c>
      <c r="K81" s="133">
        <f>'LABOR SHEET'!C$3</f>
        <v>128</v>
      </c>
      <c r="L81" s="134">
        <f t="shared" si="66"/>
        <v>1088</v>
      </c>
      <c r="M81" s="134">
        <f t="shared" si="67"/>
        <v>1088</v>
      </c>
      <c r="N81" s="134">
        <v>1076.44</v>
      </c>
      <c r="O81" s="134">
        <f t="shared" si="68"/>
        <v>1076.44</v>
      </c>
      <c r="P81" s="134">
        <f t="shared" si="69"/>
        <v>2164.44</v>
      </c>
      <c r="Q81" s="164">
        <f t="shared" si="70"/>
        <v>2164.44</v>
      </c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</row>
    <row r="82" spans="1:36" s="30" customFormat="1">
      <c r="A82" s="83" t="str">
        <f>IF(F82&lt;&gt;"",1+MAX($A$2:A81),"")</f>
        <v/>
      </c>
      <c r="B82" s="84"/>
      <c r="C82" s="85"/>
      <c r="D82" s="58"/>
      <c r="E82" s="61"/>
      <c r="F82" s="86"/>
      <c r="G82" s="87"/>
      <c r="H82" s="59"/>
      <c r="I82" s="131"/>
      <c r="J82" s="132"/>
      <c r="K82" s="133"/>
      <c r="L82" s="134"/>
      <c r="M82" s="134"/>
      <c r="N82" s="134"/>
      <c r="O82" s="134"/>
      <c r="P82" s="134"/>
      <c r="Q82" s="165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</row>
    <row r="83" spans="1:36" s="30" customFormat="1">
      <c r="A83" s="83" t="str">
        <f>IF(F83&lt;&gt;"",1+MAX($A$2:A82),"")</f>
        <v/>
      </c>
      <c r="B83" s="84"/>
      <c r="C83" s="85"/>
      <c r="D83" s="79" t="s">
        <v>111</v>
      </c>
      <c r="E83" s="61"/>
      <c r="F83" s="86"/>
      <c r="G83" s="87"/>
      <c r="H83" s="59"/>
      <c r="I83" s="131"/>
      <c r="J83" s="132"/>
      <c r="K83" s="133"/>
      <c r="L83" s="134"/>
      <c r="M83" s="134"/>
      <c r="N83" s="134"/>
      <c r="O83" s="134"/>
      <c r="P83" s="134"/>
      <c r="Q83" s="165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</row>
    <row r="84" spans="1:36" s="30" customFormat="1" ht="46.8">
      <c r="A84" s="83">
        <f>IF(F84&lt;&gt;"",1+MAX($A$2:A83),"")</f>
        <v>59</v>
      </c>
      <c r="B84" s="84"/>
      <c r="C84" s="85"/>
      <c r="D84" s="58" t="s">
        <v>112</v>
      </c>
      <c r="E84" s="61">
        <v>1</v>
      </c>
      <c r="F84" s="60">
        <v>0</v>
      </c>
      <c r="G84" s="55">
        <f t="shared" ref="G84:G94" si="71">(F84*E84)+E84</f>
        <v>1</v>
      </c>
      <c r="H84" s="59" t="s">
        <v>71</v>
      </c>
      <c r="I84" s="131">
        <v>10</v>
      </c>
      <c r="J84" s="132">
        <f t="shared" ref="J84:J94" si="72">+I84*G84</f>
        <v>10</v>
      </c>
      <c r="K84" s="133">
        <f>'LABOR SHEET'!C$3</f>
        <v>128</v>
      </c>
      <c r="L84" s="134">
        <f t="shared" ref="L84:L94" si="73">I84*K84</f>
        <v>1280</v>
      </c>
      <c r="M84" s="134">
        <f t="shared" ref="M84:M94" si="74">K84*J84</f>
        <v>1280</v>
      </c>
      <c r="N84" s="134">
        <v>15408</v>
      </c>
      <c r="O84" s="134">
        <f t="shared" ref="O84:O94" si="75">N84*G84</f>
        <v>15408</v>
      </c>
      <c r="P84" s="134">
        <f t="shared" ref="P84:P94" si="76">(I84*K84)+N84</f>
        <v>16688</v>
      </c>
      <c r="Q84" s="164">
        <f t="shared" ref="Q84:Q94" si="77">P84*G84</f>
        <v>16688</v>
      </c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</row>
    <row r="85" spans="1:36" s="30" customFormat="1" ht="46.8">
      <c r="A85" s="83">
        <f>IF(F85&lt;&gt;"",1+MAX($A$2:A84),"")</f>
        <v>60</v>
      </c>
      <c r="B85" s="84"/>
      <c r="C85" s="85"/>
      <c r="D85" s="58" t="s">
        <v>113</v>
      </c>
      <c r="E85" s="61">
        <v>1</v>
      </c>
      <c r="F85" s="60">
        <v>0</v>
      </c>
      <c r="G85" s="55">
        <f t="shared" si="71"/>
        <v>1</v>
      </c>
      <c r="H85" s="59" t="s">
        <v>71</v>
      </c>
      <c r="I85" s="131">
        <v>10</v>
      </c>
      <c r="J85" s="132">
        <f t="shared" ref="J85" si="78">+I85*G85</f>
        <v>10</v>
      </c>
      <c r="K85" s="133">
        <f>'LABOR SHEET'!C$3</f>
        <v>128</v>
      </c>
      <c r="L85" s="134">
        <f t="shared" ref="L85" si="79">I85*K85</f>
        <v>1280</v>
      </c>
      <c r="M85" s="134">
        <f t="shared" ref="M85" si="80">K85*J85</f>
        <v>1280</v>
      </c>
      <c r="N85" s="134">
        <v>15408</v>
      </c>
      <c r="O85" s="134">
        <f t="shared" ref="O85" si="81">N85*G85</f>
        <v>15408</v>
      </c>
      <c r="P85" s="134">
        <f t="shared" ref="P85" si="82">(I85*K85)+N85</f>
        <v>16688</v>
      </c>
      <c r="Q85" s="164">
        <f t="shared" ref="Q85" si="83">P85*G85</f>
        <v>16688</v>
      </c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</row>
    <row r="86" spans="1:36" s="30" customFormat="1" ht="31.2">
      <c r="A86" s="83">
        <f>IF(F86&lt;&gt;"",1+MAX($A$2:A85),"")</f>
        <v>61</v>
      </c>
      <c r="B86" s="84"/>
      <c r="C86" s="85"/>
      <c r="D86" s="58" t="s">
        <v>114</v>
      </c>
      <c r="E86" s="61">
        <v>2</v>
      </c>
      <c r="F86" s="60">
        <v>0</v>
      </c>
      <c r="G86" s="55">
        <f t="shared" si="71"/>
        <v>2</v>
      </c>
      <c r="H86" s="59" t="s">
        <v>71</v>
      </c>
      <c r="I86" s="131">
        <v>20</v>
      </c>
      <c r="J86" s="132">
        <f t="shared" si="72"/>
        <v>40</v>
      </c>
      <c r="K86" s="133">
        <f>'LABOR SHEET'!C$3</f>
        <v>128</v>
      </c>
      <c r="L86" s="134">
        <f t="shared" si="73"/>
        <v>2560</v>
      </c>
      <c r="M86" s="134">
        <f t="shared" si="74"/>
        <v>5120</v>
      </c>
      <c r="N86" s="134">
        <f>3656.86+1992</f>
        <v>5648.86</v>
      </c>
      <c r="O86" s="134">
        <f t="shared" si="75"/>
        <v>11297.72</v>
      </c>
      <c r="P86" s="134">
        <f t="shared" si="76"/>
        <v>8208.86</v>
      </c>
      <c r="Q86" s="164">
        <f t="shared" si="77"/>
        <v>16417.72</v>
      </c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</row>
    <row r="87" spans="1:36" s="30" customFormat="1" ht="31.2">
      <c r="A87" s="83">
        <f>IF(F87&lt;&gt;"",1+MAX($A$2:A86),"")</f>
        <v>62</v>
      </c>
      <c r="B87" s="84"/>
      <c r="C87" s="85"/>
      <c r="D87" s="58" t="s">
        <v>115</v>
      </c>
      <c r="E87" s="61">
        <v>2</v>
      </c>
      <c r="F87" s="60">
        <v>0</v>
      </c>
      <c r="G87" s="55">
        <f t="shared" si="71"/>
        <v>2</v>
      </c>
      <c r="H87" s="59" t="s">
        <v>71</v>
      </c>
      <c r="I87" s="131">
        <v>100</v>
      </c>
      <c r="J87" s="132">
        <f t="shared" si="72"/>
        <v>200</v>
      </c>
      <c r="K87" s="133">
        <f>'LABOR SHEET'!C$3</f>
        <v>128</v>
      </c>
      <c r="L87" s="134">
        <f t="shared" si="73"/>
        <v>12800</v>
      </c>
      <c r="M87" s="134">
        <f t="shared" si="74"/>
        <v>25600</v>
      </c>
      <c r="N87" s="134">
        <f>21784.99+49903+4252.99</f>
        <v>75940.98</v>
      </c>
      <c r="O87" s="134">
        <f t="shared" si="75"/>
        <v>151881.96</v>
      </c>
      <c r="P87" s="134">
        <f t="shared" si="76"/>
        <v>88740.98</v>
      </c>
      <c r="Q87" s="164">
        <f t="shared" si="77"/>
        <v>177481.96</v>
      </c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</row>
    <row r="88" spans="1:36" s="30" customFormat="1">
      <c r="A88" s="83">
        <f>IF(F88&lt;&gt;"",1+MAX($A$2:A87),"")</f>
        <v>63</v>
      </c>
      <c r="B88" s="84"/>
      <c r="C88" s="85"/>
      <c r="D88" s="58" t="s">
        <v>116</v>
      </c>
      <c r="E88" s="61">
        <v>2</v>
      </c>
      <c r="F88" s="60">
        <v>0</v>
      </c>
      <c r="G88" s="55">
        <f t="shared" si="71"/>
        <v>2</v>
      </c>
      <c r="H88" s="59" t="s">
        <v>71</v>
      </c>
      <c r="I88" s="131">
        <v>10</v>
      </c>
      <c r="J88" s="132">
        <f t="shared" si="72"/>
        <v>20</v>
      </c>
      <c r="K88" s="133">
        <f>'LABOR SHEET'!C$3</f>
        <v>128</v>
      </c>
      <c r="L88" s="134">
        <f t="shared" si="73"/>
        <v>1280</v>
      </c>
      <c r="M88" s="134">
        <f t="shared" si="74"/>
        <v>2560</v>
      </c>
      <c r="N88" s="134">
        <v>3496.3</v>
      </c>
      <c r="O88" s="134">
        <f t="shared" si="75"/>
        <v>6992.6</v>
      </c>
      <c r="P88" s="134">
        <f t="shared" si="76"/>
        <v>4776.3</v>
      </c>
      <c r="Q88" s="164">
        <f t="shared" si="77"/>
        <v>9552.6</v>
      </c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</row>
    <row r="89" spans="1:36" s="30" customFormat="1">
      <c r="A89" s="83">
        <f>IF(F89&lt;&gt;"",1+MAX($A$2:A88),"")</f>
        <v>64</v>
      </c>
      <c r="B89" s="84"/>
      <c r="C89" s="85"/>
      <c r="D89" s="58" t="s">
        <v>117</v>
      </c>
      <c r="E89" s="61">
        <v>1</v>
      </c>
      <c r="F89" s="60">
        <v>0</v>
      </c>
      <c r="G89" s="55">
        <f t="shared" si="71"/>
        <v>1</v>
      </c>
      <c r="H89" s="59" t="s">
        <v>71</v>
      </c>
      <c r="I89" s="131">
        <v>10</v>
      </c>
      <c r="J89" s="132">
        <f t="shared" si="72"/>
        <v>10</v>
      </c>
      <c r="K89" s="133">
        <f>'LABOR SHEET'!C$3</f>
        <v>128</v>
      </c>
      <c r="L89" s="134">
        <f t="shared" si="73"/>
        <v>1280</v>
      </c>
      <c r="M89" s="134">
        <f t="shared" si="74"/>
        <v>1280</v>
      </c>
      <c r="N89" s="134">
        <v>2550</v>
      </c>
      <c r="O89" s="134">
        <f t="shared" si="75"/>
        <v>2550</v>
      </c>
      <c r="P89" s="134">
        <f t="shared" si="76"/>
        <v>3830</v>
      </c>
      <c r="Q89" s="164">
        <f t="shared" si="77"/>
        <v>3830</v>
      </c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</row>
    <row r="90" spans="1:36" s="30" customFormat="1" ht="46.8">
      <c r="A90" s="83">
        <f>IF(F90&lt;&gt;"",1+MAX($A$2:A89),"")</f>
        <v>65</v>
      </c>
      <c r="B90" s="84"/>
      <c r="C90" s="85"/>
      <c r="D90" s="58" t="s">
        <v>118</v>
      </c>
      <c r="E90" s="61">
        <v>1</v>
      </c>
      <c r="F90" s="60">
        <v>0</v>
      </c>
      <c r="G90" s="55">
        <f t="shared" si="71"/>
        <v>1</v>
      </c>
      <c r="H90" s="59" t="s">
        <v>71</v>
      </c>
      <c r="I90" s="131">
        <f>(110)+(6.6*1)</f>
        <v>116.6</v>
      </c>
      <c r="J90" s="132">
        <f t="shared" si="72"/>
        <v>116.6</v>
      </c>
      <c r="K90" s="133">
        <f>'LABOR SHEET'!C$3</f>
        <v>128</v>
      </c>
      <c r="L90" s="134">
        <f t="shared" si="73"/>
        <v>14924.8</v>
      </c>
      <c r="M90" s="134">
        <f t="shared" si="74"/>
        <v>14924.8</v>
      </c>
      <c r="N90" s="134">
        <f>(86981.59)+(11600*1)</f>
        <v>98581.59</v>
      </c>
      <c r="O90" s="134">
        <f t="shared" si="75"/>
        <v>98581.59</v>
      </c>
      <c r="P90" s="134">
        <f t="shared" si="76"/>
        <v>113506.39</v>
      </c>
      <c r="Q90" s="164">
        <f t="shared" si="77"/>
        <v>113506.39</v>
      </c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</row>
    <row r="91" spans="1:36" s="30" customFormat="1" ht="46.8">
      <c r="A91" s="83">
        <f>IF(F91&lt;&gt;"",1+MAX($A$2:A90),"")</f>
        <v>66</v>
      </c>
      <c r="B91" s="84"/>
      <c r="C91" s="85"/>
      <c r="D91" s="58" t="s">
        <v>119</v>
      </c>
      <c r="E91" s="61">
        <v>1</v>
      </c>
      <c r="F91" s="60">
        <v>0</v>
      </c>
      <c r="G91" s="55">
        <f t="shared" si="71"/>
        <v>1</v>
      </c>
      <c r="H91" s="59" t="s">
        <v>71</v>
      </c>
      <c r="I91" s="131">
        <v>8.5</v>
      </c>
      <c r="J91" s="132">
        <f t="shared" si="72"/>
        <v>8.5</v>
      </c>
      <c r="K91" s="133">
        <f>'LABOR SHEET'!C$3</f>
        <v>128</v>
      </c>
      <c r="L91" s="134">
        <f t="shared" si="73"/>
        <v>1088</v>
      </c>
      <c r="M91" s="134">
        <f t="shared" si="74"/>
        <v>1088</v>
      </c>
      <c r="N91" s="134">
        <v>6444.9</v>
      </c>
      <c r="O91" s="134">
        <f t="shared" si="75"/>
        <v>6444.9</v>
      </c>
      <c r="P91" s="134">
        <f t="shared" si="76"/>
        <v>7532.9</v>
      </c>
      <c r="Q91" s="164">
        <f t="shared" si="77"/>
        <v>7532.9</v>
      </c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</row>
    <row r="92" spans="1:36" s="30" customFormat="1" ht="31.2">
      <c r="A92" s="83">
        <f>IF(F92&lt;&gt;"",1+MAX($A$2:A91),"")</f>
        <v>67</v>
      </c>
      <c r="B92" s="84"/>
      <c r="C92" s="85"/>
      <c r="D92" s="58" t="s">
        <v>120</v>
      </c>
      <c r="E92" s="61">
        <v>10</v>
      </c>
      <c r="F92" s="60">
        <v>0</v>
      </c>
      <c r="G92" s="55">
        <f t="shared" si="71"/>
        <v>10</v>
      </c>
      <c r="H92" s="59" t="s">
        <v>71</v>
      </c>
      <c r="I92" s="131">
        <v>1.5</v>
      </c>
      <c r="J92" s="132">
        <f t="shared" si="72"/>
        <v>15</v>
      </c>
      <c r="K92" s="133">
        <f>'LABOR SHEET'!C$3</f>
        <v>128</v>
      </c>
      <c r="L92" s="134">
        <f t="shared" si="73"/>
        <v>192</v>
      </c>
      <c r="M92" s="134">
        <f t="shared" si="74"/>
        <v>1920</v>
      </c>
      <c r="N92" s="134">
        <v>738.89</v>
      </c>
      <c r="O92" s="134">
        <f t="shared" si="75"/>
        <v>7388.9</v>
      </c>
      <c r="P92" s="134">
        <f t="shared" si="76"/>
        <v>930.89</v>
      </c>
      <c r="Q92" s="164">
        <f t="shared" si="77"/>
        <v>9308.9</v>
      </c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</row>
    <row r="93" spans="1:36" s="30" customFormat="1" ht="31.2">
      <c r="A93" s="83">
        <f>IF(F93&lt;&gt;"",1+MAX($A$2:A92),"")</f>
        <v>68</v>
      </c>
      <c r="B93" s="84"/>
      <c r="C93" s="85"/>
      <c r="D93" s="58" t="s">
        <v>121</v>
      </c>
      <c r="E93" s="61">
        <v>1</v>
      </c>
      <c r="F93" s="60">
        <v>0</v>
      </c>
      <c r="G93" s="55">
        <f t="shared" si="71"/>
        <v>1</v>
      </c>
      <c r="H93" s="59" t="s">
        <v>71</v>
      </c>
      <c r="I93" s="131">
        <v>60</v>
      </c>
      <c r="J93" s="132">
        <f t="shared" si="72"/>
        <v>60</v>
      </c>
      <c r="K93" s="133">
        <f>'LABOR SHEET'!C$3</f>
        <v>128</v>
      </c>
      <c r="L93" s="134">
        <f t="shared" si="73"/>
        <v>7680</v>
      </c>
      <c r="M93" s="134">
        <f t="shared" si="74"/>
        <v>7680</v>
      </c>
      <c r="N93" s="134">
        <v>30000</v>
      </c>
      <c r="O93" s="134">
        <f t="shared" si="75"/>
        <v>30000</v>
      </c>
      <c r="P93" s="134">
        <f t="shared" si="76"/>
        <v>37680</v>
      </c>
      <c r="Q93" s="164">
        <f t="shared" si="77"/>
        <v>37680</v>
      </c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</row>
    <row r="94" spans="1:36" s="30" customFormat="1">
      <c r="A94" s="83">
        <f>IF(F94&lt;&gt;"",1+MAX($A$2:A93),"")</f>
        <v>69</v>
      </c>
      <c r="B94" s="84"/>
      <c r="C94" s="85"/>
      <c r="D94" s="58" t="s">
        <v>122</v>
      </c>
      <c r="E94" s="61">
        <v>1</v>
      </c>
      <c r="F94" s="60">
        <v>0</v>
      </c>
      <c r="G94" s="55">
        <f t="shared" si="71"/>
        <v>1</v>
      </c>
      <c r="H94" s="59" t="s">
        <v>71</v>
      </c>
      <c r="I94" s="131">
        <v>5</v>
      </c>
      <c r="J94" s="132">
        <f t="shared" si="72"/>
        <v>5</v>
      </c>
      <c r="K94" s="133">
        <f>'LABOR SHEET'!C$3</f>
        <v>128</v>
      </c>
      <c r="L94" s="134">
        <f t="shared" si="73"/>
        <v>640</v>
      </c>
      <c r="M94" s="134">
        <f t="shared" si="74"/>
        <v>640</v>
      </c>
      <c r="N94" s="178">
        <v>0</v>
      </c>
      <c r="O94" s="178">
        <f t="shared" si="75"/>
        <v>0</v>
      </c>
      <c r="P94" s="134">
        <f t="shared" si="76"/>
        <v>640</v>
      </c>
      <c r="Q94" s="164">
        <f t="shared" si="77"/>
        <v>640</v>
      </c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  <c r="AI94" s="167"/>
      <c r="AJ94" s="167"/>
    </row>
    <row r="95" spans="1:36" s="30" customFormat="1">
      <c r="A95" s="83" t="str">
        <f>IF(F95&lt;&gt;"",1+MAX($A$2:A94),"")</f>
        <v/>
      </c>
      <c r="B95" s="84"/>
      <c r="C95" s="85"/>
      <c r="D95" s="58"/>
      <c r="E95" s="61"/>
      <c r="F95" s="86"/>
      <c r="G95" s="87"/>
      <c r="H95" s="59"/>
      <c r="I95" s="131"/>
      <c r="J95" s="132"/>
      <c r="K95" s="133"/>
      <c r="L95" s="134"/>
      <c r="M95" s="134"/>
      <c r="N95" s="134"/>
      <c r="O95" s="134"/>
      <c r="P95" s="134"/>
      <c r="Q95" s="165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</row>
    <row r="96" spans="1:36" s="30" customFormat="1">
      <c r="A96" s="83" t="str">
        <f>IF(F96&lt;&gt;"",1+MAX($A$2:A95),"")</f>
        <v/>
      </c>
      <c r="B96" s="84"/>
      <c r="C96" s="85"/>
      <c r="D96" s="79" t="s">
        <v>123</v>
      </c>
      <c r="E96" s="61"/>
      <c r="F96" s="86"/>
      <c r="G96" s="87"/>
      <c r="H96" s="59"/>
      <c r="I96" s="131"/>
      <c r="J96" s="132"/>
      <c r="K96" s="133"/>
      <c r="L96" s="134"/>
      <c r="M96" s="134"/>
      <c r="N96" s="134"/>
      <c r="O96" s="134"/>
      <c r="P96" s="134"/>
      <c r="Q96" s="165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</row>
    <row r="97" spans="1:36" s="30" customFormat="1">
      <c r="A97" s="83">
        <f>IF(F97&lt;&gt;"",1+MAX($A$2:A96),"")</f>
        <v>70</v>
      </c>
      <c r="B97" s="84"/>
      <c r="C97" s="85"/>
      <c r="D97" s="58" t="s">
        <v>124</v>
      </c>
      <c r="E97" s="61">
        <v>1</v>
      </c>
      <c r="F97" s="60">
        <v>0</v>
      </c>
      <c r="G97" s="55">
        <f t="shared" ref="G97:G119" si="84">(F97*E97)+E97</f>
        <v>1</v>
      </c>
      <c r="H97" s="59" t="s">
        <v>71</v>
      </c>
      <c r="I97" s="131">
        <v>0.3</v>
      </c>
      <c r="J97" s="132">
        <f t="shared" ref="J97:J98" si="85">+I97*G97</f>
        <v>0.3</v>
      </c>
      <c r="K97" s="133">
        <f>'LABOR SHEET'!C$3</f>
        <v>128</v>
      </c>
      <c r="L97" s="134">
        <f t="shared" ref="L97:L98" si="86">I97*K97</f>
        <v>38.4</v>
      </c>
      <c r="M97" s="134">
        <f t="shared" ref="M97:M98" si="87">K97*J97</f>
        <v>38.4</v>
      </c>
      <c r="N97" s="134">
        <v>22</v>
      </c>
      <c r="O97" s="134">
        <f t="shared" ref="O97:O98" si="88">N97*G97</f>
        <v>22</v>
      </c>
      <c r="P97" s="134">
        <f t="shared" ref="P97:P98" si="89">(I97*K97)+N97</f>
        <v>60.4</v>
      </c>
      <c r="Q97" s="164">
        <f t="shared" ref="Q97:Q98" si="90">P97*G97</f>
        <v>60.4</v>
      </c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</row>
    <row r="98" spans="1:36" s="30" customFormat="1">
      <c r="A98" s="83">
        <f>IF(F98&lt;&gt;"",1+MAX($A$2:A97),"")</f>
        <v>71</v>
      </c>
      <c r="B98" s="84"/>
      <c r="C98" s="85"/>
      <c r="D98" s="58" t="s">
        <v>125</v>
      </c>
      <c r="E98" s="61">
        <v>3</v>
      </c>
      <c r="F98" s="60">
        <v>0</v>
      </c>
      <c r="G98" s="55">
        <f t="shared" si="84"/>
        <v>3</v>
      </c>
      <c r="H98" s="59" t="s">
        <v>71</v>
      </c>
      <c r="I98" s="131">
        <v>0.25</v>
      </c>
      <c r="J98" s="132">
        <f t="shared" si="85"/>
        <v>0.75</v>
      </c>
      <c r="K98" s="133">
        <f>'LABOR SHEET'!C$3</f>
        <v>128</v>
      </c>
      <c r="L98" s="134">
        <f t="shared" si="86"/>
        <v>32</v>
      </c>
      <c r="M98" s="134">
        <f t="shared" si="87"/>
        <v>96</v>
      </c>
      <c r="N98" s="134">
        <v>18</v>
      </c>
      <c r="O98" s="134">
        <f t="shared" si="88"/>
        <v>54</v>
      </c>
      <c r="P98" s="134">
        <f t="shared" si="89"/>
        <v>50</v>
      </c>
      <c r="Q98" s="164">
        <f t="shared" si="90"/>
        <v>150</v>
      </c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</row>
    <row r="99" spans="1:36" s="30" customFormat="1">
      <c r="A99" s="83">
        <f>IF(F99&lt;&gt;"",1+MAX($A$2:A98),"")</f>
        <v>72</v>
      </c>
      <c r="B99" s="84"/>
      <c r="C99" s="85"/>
      <c r="D99" s="58" t="s">
        <v>126</v>
      </c>
      <c r="E99" s="61">
        <v>1</v>
      </c>
      <c r="F99" s="60">
        <v>0</v>
      </c>
      <c r="G99" s="55">
        <f t="shared" si="84"/>
        <v>1</v>
      </c>
      <c r="H99" s="59" t="s">
        <v>71</v>
      </c>
      <c r="I99" s="131">
        <v>0.3</v>
      </c>
      <c r="J99" s="132">
        <f t="shared" ref="J99:J118" si="91">+I99*G99</f>
        <v>0.3</v>
      </c>
      <c r="K99" s="133">
        <f>'LABOR SHEET'!C$3</f>
        <v>128</v>
      </c>
      <c r="L99" s="134">
        <f t="shared" ref="L99:L118" si="92">I99*K99</f>
        <v>38.4</v>
      </c>
      <c r="M99" s="134">
        <f t="shared" ref="M99:M118" si="93">K99*J99</f>
        <v>38.4</v>
      </c>
      <c r="N99" s="134">
        <v>22</v>
      </c>
      <c r="O99" s="134">
        <f t="shared" ref="O99:O118" si="94">N99*G99</f>
        <v>22</v>
      </c>
      <c r="P99" s="134">
        <f t="shared" ref="P99:P118" si="95">(I99*K99)+N99</f>
        <v>60.4</v>
      </c>
      <c r="Q99" s="164">
        <f t="shared" ref="Q99:Q118" si="96">P99*G99</f>
        <v>60.4</v>
      </c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</row>
    <row r="100" spans="1:36" s="30" customFormat="1">
      <c r="A100" s="83">
        <f>IF(F100&lt;&gt;"",1+MAX($A$2:A99),"")</f>
        <v>73</v>
      </c>
      <c r="B100" s="84"/>
      <c r="C100" s="85"/>
      <c r="D100" s="58" t="s">
        <v>127</v>
      </c>
      <c r="E100" s="61">
        <v>2</v>
      </c>
      <c r="F100" s="60">
        <v>0</v>
      </c>
      <c r="G100" s="55">
        <f t="shared" si="84"/>
        <v>2</v>
      </c>
      <c r="H100" s="59" t="s">
        <v>71</v>
      </c>
      <c r="I100" s="131">
        <v>0.25</v>
      </c>
      <c r="J100" s="132">
        <f t="shared" si="91"/>
        <v>0.5</v>
      </c>
      <c r="K100" s="133">
        <f>'LABOR SHEET'!C$3</f>
        <v>128</v>
      </c>
      <c r="L100" s="134">
        <f t="shared" si="92"/>
        <v>32</v>
      </c>
      <c r="M100" s="134">
        <f t="shared" si="93"/>
        <v>64</v>
      </c>
      <c r="N100" s="134">
        <v>18</v>
      </c>
      <c r="O100" s="134">
        <f t="shared" si="94"/>
        <v>36</v>
      </c>
      <c r="P100" s="134">
        <f t="shared" si="95"/>
        <v>50</v>
      </c>
      <c r="Q100" s="164">
        <f t="shared" si="96"/>
        <v>100</v>
      </c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</row>
    <row r="101" spans="1:36" s="30" customFormat="1">
      <c r="A101" s="83">
        <f>IF(F101&lt;&gt;"",1+MAX($A$2:A100),"")</f>
        <v>74</v>
      </c>
      <c r="B101" s="84"/>
      <c r="C101" s="85"/>
      <c r="D101" s="58" t="s">
        <v>128</v>
      </c>
      <c r="E101" s="61">
        <v>1</v>
      </c>
      <c r="F101" s="60">
        <v>0</v>
      </c>
      <c r="G101" s="55">
        <f t="shared" si="84"/>
        <v>1</v>
      </c>
      <c r="H101" s="59" t="s">
        <v>71</v>
      </c>
      <c r="I101" s="131">
        <v>0.3</v>
      </c>
      <c r="J101" s="132">
        <f t="shared" si="91"/>
        <v>0.3</v>
      </c>
      <c r="K101" s="133">
        <f>'LABOR SHEET'!C$3</f>
        <v>128</v>
      </c>
      <c r="L101" s="134">
        <f t="shared" si="92"/>
        <v>38.4</v>
      </c>
      <c r="M101" s="134">
        <f t="shared" si="93"/>
        <v>38.4</v>
      </c>
      <c r="N101" s="134">
        <v>22</v>
      </c>
      <c r="O101" s="134">
        <f t="shared" si="94"/>
        <v>22</v>
      </c>
      <c r="P101" s="134">
        <f t="shared" si="95"/>
        <v>60.4</v>
      </c>
      <c r="Q101" s="164">
        <f t="shared" si="96"/>
        <v>60.4</v>
      </c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</row>
    <row r="102" spans="1:36" s="30" customFormat="1">
      <c r="A102" s="83">
        <f>IF(F102&lt;&gt;"",1+MAX($A$2:A101),"")</f>
        <v>75</v>
      </c>
      <c r="B102" s="84"/>
      <c r="C102" s="85"/>
      <c r="D102" s="58" t="s">
        <v>129</v>
      </c>
      <c r="E102" s="61">
        <v>1</v>
      </c>
      <c r="F102" s="60">
        <v>0</v>
      </c>
      <c r="G102" s="55">
        <f t="shared" si="84"/>
        <v>1</v>
      </c>
      <c r="H102" s="59" t="s">
        <v>71</v>
      </c>
      <c r="I102" s="131">
        <v>0.25</v>
      </c>
      <c r="J102" s="132">
        <f t="shared" si="91"/>
        <v>0.25</v>
      </c>
      <c r="K102" s="133">
        <f>'LABOR SHEET'!C$3</f>
        <v>128</v>
      </c>
      <c r="L102" s="134">
        <f t="shared" si="92"/>
        <v>32</v>
      </c>
      <c r="M102" s="134">
        <f t="shared" si="93"/>
        <v>32</v>
      </c>
      <c r="N102" s="134">
        <v>18</v>
      </c>
      <c r="O102" s="134">
        <f t="shared" si="94"/>
        <v>18</v>
      </c>
      <c r="P102" s="134">
        <f t="shared" si="95"/>
        <v>50</v>
      </c>
      <c r="Q102" s="164">
        <f t="shared" si="96"/>
        <v>50</v>
      </c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</row>
    <row r="103" spans="1:36" s="30" customFormat="1">
      <c r="A103" s="83">
        <f>IF(F103&lt;&gt;"",1+MAX($A$2:A102),"")</f>
        <v>76</v>
      </c>
      <c r="B103" s="84"/>
      <c r="C103" s="85"/>
      <c r="D103" s="58" t="s">
        <v>130</v>
      </c>
      <c r="E103" s="61">
        <v>6</v>
      </c>
      <c r="F103" s="60">
        <v>0</v>
      </c>
      <c r="G103" s="55">
        <f t="shared" si="84"/>
        <v>6</v>
      </c>
      <c r="H103" s="59" t="s">
        <v>71</v>
      </c>
      <c r="I103" s="131">
        <v>0.3</v>
      </c>
      <c r="J103" s="132">
        <f t="shared" si="91"/>
        <v>1.8</v>
      </c>
      <c r="K103" s="133">
        <f>'LABOR SHEET'!C$3</f>
        <v>128</v>
      </c>
      <c r="L103" s="134">
        <f t="shared" si="92"/>
        <v>38.4</v>
      </c>
      <c r="M103" s="134">
        <f t="shared" si="93"/>
        <v>230.4</v>
      </c>
      <c r="N103" s="134">
        <v>22</v>
      </c>
      <c r="O103" s="134">
        <f t="shared" si="94"/>
        <v>132</v>
      </c>
      <c r="P103" s="134">
        <f t="shared" si="95"/>
        <v>60.4</v>
      </c>
      <c r="Q103" s="164">
        <f t="shared" si="96"/>
        <v>362.4</v>
      </c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</row>
    <row r="104" spans="1:36" s="30" customFormat="1">
      <c r="A104" s="83">
        <f>IF(F104&lt;&gt;"",1+MAX($A$2:A103),"")</f>
        <v>77</v>
      </c>
      <c r="B104" s="84"/>
      <c r="C104" s="85"/>
      <c r="D104" s="58" t="s">
        <v>131</v>
      </c>
      <c r="E104" s="61">
        <v>2</v>
      </c>
      <c r="F104" s="60">
        <v>0</v>
      </c>
      <c r="G104" s="55">
        <f t="shared" si="84"/>
        <v>2</v>
      </c>
      <c r="H104" s="59" t="s">
        <v>71</v>
      </c>
      <c r="I104" s="131">
        <v>0.25</v>
      </c>
      <c r="J104" s="132">
        <f t="shared" si="91"/>
        <v>0.5</v>
      </c>
      <c r="K104" s="133">
        <f>'LABOR SHEET'!C$3</f>
        <v>128</v>
      </c>
      <c r="L104" s="134">
        <f t="shared" si="92"/>
        <v>32</v>
      </c>
      <c r="M104" s="134">
        <f t="shared" si="93"/>
        <v>64</v>
      </c>
      <c r="N104" s="134">
        <v>18</v>
      </c>
      <c r="O104" s="134">
        <f t="shared" si="94"/>
        <v>36</v>
      </c>
      <c r="P104" s="134">
        <f t="shared" si="95"/>
        <v>50</v>
      </c>
      <c r="Q104" s="164">
        <f t="shared" si="96"/>
        <v>100</v>
      </c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</row>
    <row r="105" spans="1:36" s="30" customFormat="1">
      <c r="A105" s="83">
        <f>IF(F105&lt;&gt;"",1+MAX($A$2:A104),"")</f>
        <v>78</v>
      </c>
      <c r="B105" s="84"/>
      <c r="C105" s="85"/>
      <c r="D105" s="58" t="s">
        <v>132</v>
      </c>
      <c r="E105" s="61">
        <v>22</v>
      </c>
      <c r="F105" s="60">
        <v>0</v>
      </c>
      <c r="G105" s="55">
        <f t="shared" si="84"/>
        <v>22</v>
      </c>
      <c r="H105" s="59" t="s">
        <v>71</v>
      </c>
      <c r="I105" s="131">
        <v>0.3</v>
      </c>
      <c r="J105" s="132">
        <f t="shared" si="91"/>
        <v>6.6</v>
      </c>
      <c r="K105" s="133">
        <f>'LABOR SHEET'!C$3</f>
        <v>128</v>
      </c>
      <c r="L105" s="134">
        <f t="shared" si="92"/>
        <v>38.4</v>
      </c>
      <c r="M105" s="134">
        <f t="shared" si="93"/>
        <v>844.8</v>
      </c>
      <c r="N105" s="134">
        <v>22</v>
      </c>
      <c r="O105" s="134">
        <f t="shared" si="94"/>
        <v>484</v>
      </c>
      <c r="P105" s="134">
        <f t="shared" si="95"/>
        <v>60.4</v>
      </c>
      <c r="Q105" s="164">
        <f t="shared" si="96"/>
        <v>1328.8</v>
      </c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</row>
    <row r="106" spans="1:36" s="30" customFormat="1">
      <c r="A106" s="83">
        <f>IF(F106&lt;&gt;"",1+MAX($A$2:A105),"")</f>
        <v>79</v>
      </c>
      <c r="B106" s="84"/>
      <c r="C106" s="85"/>
      <c r="D106" s="58" t="s">
        <v>133</v>
      </c>
      <c r="E106" s="61">
        <v>2</v>
      </c>
      <c r="F106" s="60">
        <v>0</v>
      </c>
      <c r="G106" s="55">
        <f t="shared" si="84"/>
        <v>2</v>
      </c>
      <c r="H106" s="59" t="s">
        <v>71</v>
      </c>
      <c r="I106" s="131">
        <v>0.25</v>
      </c>
      <c r="J106" s="132">
        <f t="shared" si="91"/>
        <v>0.5</v>
      </c>
      <c r="K106" s="133">
        <f>'LABOR SHEET'!C$3</f>
        <v>128</v>
      </c>
      <c r="L106" s="134">
        <f t="shared" si="92"/>
        <v>32</v>
      </c>
      <c r="M106" s="134">
        <f t="shared" si="93"/>
        <v>64</v>
      </c>
      <c r="N106" s="134">
        <v>18</v>
      </c>
      <c r="O106" s="134">
        <f t="shared" si="94"/>
        <v>36</v>
      </c>
      <c r="P106" s="134">
        <f t="shared" si="95"/>
        <v>50</v>
      </c>
      <c r="Q106" s="164">
        <f t="shared" si="96"/>
        <v>100</v>
      </c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167"/>
    </row>
    <row r="107" spans="1:36" s="30" customFormat="1">
      <c r="A107" s="83">
        <f>IF(F107&lt;&gt;"",1+MAX($A$2:A106),"")</f>
        <v>80</v>
      </c>
      <c r="B107" s="84"/>
      <c r="C107" s="85"/>
      <c r="D107" s="58" t="s">
        <v>134</v>
      </c>
      <c r="E107" s="61">
        <v>1</v>
      </c>
      <c r="F107" s="60">
        <v>0</v>
      </c>
      <c r="G107" s="55">
        <f t="shared" si="84"/>
        <v>1</v>
      </c>
      <c r="H107" s="59" t="s">
        <v>71</v>
      </c>
      <c r="I107" s="131">
        <v>0.3</v>
      </c>
      <c r="J107" s="132">
        <f t="shared" si="91"/>
        <v>0.3</v>
      </c>
      <c r="K107" s="133">
        <f>'LABOR SHEET'!C$3</f>
        <v>128</v>
      </c>
      <c r="L107" s="134">
        <f t="shared" si="92"/>
        <v>38.4</v>
      </c>
      <c r="M107" s="134">
        <f t="shared" si="93"/>
        <v>38.4</v>
      </c>
      <c r="N107" s="134">
        <v>22</v>
      </c>
      <c r="O107" s="134">
        <f t="shared" si="94"/>
        <v>22</v>
      </c>
      <c r="P107" s="134">
        <f t="shared" si="95"/>
        <v>60.4</v>
      </c>
      <c r="Q107" s="164">
        <f t="shared" si="96"/>
        <v>60.4</v>
      </c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67"/>
      <c r="AI107" s="167"/>
      <c r="AJ107" s="167"/>
    </row>
    <row r="108" spans="1:36" s="30" customFormat="1">
      <c r="A108" s="83">
        <f>IF(F108&lt;&gt;"",1+MAX($A$2:A107),"")</f>
        <v>81</v>
      </c>
      <c r="B108" s="84"/>
      <c r="C108" s="85"/>
      <c r="D108" s="58" t="s">
        <v>135</v>
      </c>
      <c r="E108" s="61">
        <v>1</v>
      </c>
      <c r="F108" s="60">
        <v>0</v>
      </c>
      <c r="G108" s="55">
        <f t="shared" si="84"/>
        <v>1</v>
      </c>
      <c r="H108" s="59" t="s">
        <v>71</v>
      </c>
      <c r="I108" s="131">
        <v>0.25</v>
      </c>
      <c r="J108" s="132">
        <f t="shared" si="91"/>
        <v>0.25</v>
      </c>
      <c r="K108" s="133">
        <f>'LABOR SHEET'!C$3</f>
        <v>128</v>
      </c>
      <c r="L108" s="134">
        <f t="shared" si="92"/>
        <v>32</v>
      </c>
      <c r="M108" s="134">
        <f t="shared" si="93"/>
        <v>32</v>
      </c>
      <c r="N108" s="134">
        <v>18</v>
      </c>
      <c r="O108" s="134">
        <f t="shared" si="94"/>
        <v>18</v>
      </c>
      <c r="P108" s="134">
        <f t="shared" si="95"/>
        <v>50</v>
      </c>
      <c r="Q108" s="164">
        <f t="shared" si="96"/>
        <v>50</v>
      </c>
      <c r="R108" s="167"/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  <c r="AI108" s="167"/>
      <c r="AJ108" s="167"/>
    </row>
    <row r="109" spans="1:36" s="30" customFormat="1">
      <c r="A109" s="83">
        <f>IF(F109&lt;&gt;"",1+MAX($A$2:A108),"")</f>
        <v>82</v>
      </c>
      <c r="B109" s="84"/>
      <c r="C109" s="85"/>
      <c r="D109" s="58" t="s">
        <v>136</v>
      </c>
      <c r="E109" s="61">
        <v>1</v>
      </c>
      <c r="F109" s="60">
        <v>0</v>
      </c>
      <c r="G109" s="55">
        <f t="shared" si="84"/>
        <v>1</v>
      </c>
      <c r="H109" s="59" t="s">
        <v>71</v>
      </c>
      <c r="I109" s="131">
        <v>0.3</v>
      </c>
      <c r="J109" s="132">
        <f t="shared" si="91"/>
        <v>0.3</v>
      </c>
      <c r="K109" s="133">
        <f>'LABOR SHEET'!C$3</f>
        <v>128</v>
      </c>
      <c r="L109" s="134">
        <f t="shared" si="92"/>
        <v>38.4</v>
      </c>
      <c r="M109" s="134">
        <f t="shared" si="93"/>
        <v>38.4</v>
      </c>
      <c r="N109" s="134">
        <v>22</v>
      </c>
      <c r="O109" s="134">
        <f t="shared" si="94"/>
        <v>22</v>
      </c>
      <c r="P109" s="134">
        <f t="shared" si="95"/>
        <v>60.4</v>
      </c>
      <c r="Q109" s="164">
        <f t="shared" si="96"/>
        <v>60.4</v>
      </c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7"/>
      <c r="AC109" s="167"/>
      <c r="AD109" s="167"/>
      <c r="AE109" s="167"/>
      <c r="AF109" s="167"/>
      <c r="AG109" s="167"/>
      <c r="AH109" s="167"/>
      <c r="AI109" s="167"/>
      <c r="AJ109" s="167"/>
    </row>
    <row r="110" spans="1:36" s="30" customFormat="1">
      <c r="A110" s="83">
        <f>IF(F110&lt;&gt;"",1+MAX($A$2:A109),"")</f>
        <v>83</v>
      </c>
      <c r="B110" s="84"/>
      <c r="C110" s="85"/>
      <c r="D110" s="58" t="s">
        <v>137</v>
      </c>
      <c r="E110" s="61">
        <v>22</v>
      </c>
      <c r="F110" s="60">
        <v>0</v>
      </c>
      <c r="G110" s="55">
        <f t="shared" si="84"/>
        <v>22</v>
      </c>
      <c r="H110" s="59" t="s">
        <v>71</v>
      </c>
      <c r="I110" s="131">
        <v>0.25</v>
      </c>
      <c r="J110" s="132">
        <f t="shared" si="91"/>
        <v>5.5</v>
      </c>
      <c r="K110" s="133">
        <f>'LABOR SHEET'!C$3</f>
        <v>128</v>
      </c>
      <c r="L110" s="134">
        <f t="shared" si="92"/>
        <v>32</v>
      </c>
      <c r="M110" s="134">
        <f t="shared" si="93"/>
        <v>704</v>
      </c>
      <c r="N110" s="134">
        <v>18</v>
      </c>
      <c r="O110" s="134">
        <f t="shared" si="94"/>
        <v>396</v>
      </c>
      <c r="P110" s="134">
        <f t="shared" si="95"/>
        <v>50</v>
      </c>
      <c r="Q110" s="164">
        <f t="shared" si="96"/>
        <v>1100</v>
      </c>
      <c r="R110" s="167"/>
      <c r="S110" s="167"/>
      <c r="T110" s="167"/>
      <c r="U110" s="167"/>
      <c r="V110" s="167"/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67"/>
      <c r="AI110" s="167"/>
      <c r="AJ110" s="167"/>
    </row>
    <row r="111" spans="1:36" s="30" customFormat="1">
      <c r="A111" s="83">
        <f>IF(F111&lt;&gt;"",1+MAX($A$2:A110),"")</f>
        <v>84</v>
      </c>
      <c r="B111" s="84"/>
      <c r="C111" s="85"/>
      <c r="D111" s="58" t="s">
        <v>138</v>
      </c>
      <c r="E111" s="61">
        <v>2</v>
      </c>
      <c r="F111" s="60">
        <v>0</v>
      </c>
      <c r="G111" s="55">
        <f t="shared" si="84"/>
        <v>2</v>
      </c>
      <c r="H111" s="59" t="s">
        <v>71</v>
      </c>
      <c r="I111" s="131">
        <v>0.3</v>
      </c>
      <c r="J111" s="132">
        <f t="shared" si="91"/>
        <v>0.6</v>
      </c>
      <c r="K111" s="133">
        <f>'LABOR SHEET'!C$3</f>
        <v>128</v>
      </c>
      <c r="L111" s="134">
        <f t="shared" si="92"/>
        <v>38.4</v>
      </c>
      <c r="M111" s="134">
        <f t="shared" si="93"/>
        <v>76.8</v>
      </c>
      <c r="N111" s="134">
        <v>22</v>
      </c>
      <c r="O111" s="134">
        <f t="shared" si="94"/>
        <v>44</v>
      </c>
      <c r="P111" s="134">
        <f t="shared" si="95"/>
        <v>60.4</v>
      </c>
      <c r="Q111" s="164">
        <f t="shared" si="96"/>
        <v>120.8</v>
      </c>
      <c r="R111" s="167"/>
      <c r="S111" s="167"/>
      <c r="T111" s="167"/>
      <c r="U111" s="167"/>
      <c r="V111" s="167"/>
      <c r="W111" s="167"/>
      <c r="X111" s="167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  <c r="AI111" s="167"/>
      <c r="AJ111" s="167"/>
    </row>
    <row r="112" spans="1:36" s="30" customFormat="1">
      <c r="A112" s="83">
        <f>IF(F112&lt;&gt;"",1+MAX($A$2:A111),"")</f>
        <v>85</v>
      </c>
      <c r="B112" s="84"/>
      <c r="C112" s="85"/>
      <c r="D112" s="58" t="s">
        <v>139</v>
      </c>
      <c r="E112" s="61">
        <v>2</v>
      </c>
      <c r="F112" s="60">
        <v>0</v>
      </c>
      <c r="G112" s="55">
        <f t="shared" si="84"/>
        <v>2</v>
      </c>
      <c r="H112" s="59" t="s">
        <v>71</v>
      </c>
      <c r="I112" s="131">
        <v>0.25</v>
      </c>
      <c r="J112" s="132">
        <f t="shared" si="91"/>
        <v>0.5</v>
      </c>
      <c r="K112" s="133">
        <f>'LABOR SHEET'!C$3</f>
        <v>128</v>
      </c>
      <c r="L112" s="134">
        <f t="shared" si="92"/>
        <v>32</v>
      </c>
      <c r="M112" s="134">
        <f t="shared" si="93"/>
        <v>64</v>
      </c>
      <c r="N112" s="134">
        <v>18</v>
      </c>
      <c r="O112" s="134">
        <f t="shared" si="94"/>
        <v>36</v>
      </c>
      <c r="P112" s="134">
        <f t="shared" si="95"/>
        <v>50</v>
      </c>
      <c r="Q112" s="164">
        <f t="shared" si="96"/>
        <v>100</v>
      </c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7"/>
      <c r="AC112" s="167"/>
      <c r="AD112" s="167"/>
      <c r="AE112" s="167"/>
      <c r="AF112" s="167"/>
      <c r="AG112" s="167"/>
      <c r="AH112" s="167"/>
      <c r="AI112" s="167"/>
      <c r="AJ112" s="167"/>
    </row>
    <row r="113" spans="1:36" s="30" customFormat="1">
      <c r="A113" s="83">
        <f>IF(F113&lt;&gt;"",1+MAX($A$2:A112),"")</f>
        <v>86</v>
      </c>
      <c r="B113" s="84"/>
      <c r="C113" s="85"/>
      <c r="D113" s="58" t="s">
        <v>140</v>
      </c>
      <c r="E113" s="61">
        <v>1</v>
      </c>
      <c r="F113" s="60">
        <v>0</v>
      </c>
      <c r="G113" s="55">
        <f t="shared" si="84"/>
        <v>1</v>
      </c>
      <c r="H113" s="59" t="s">
        <v>71</v>
      </c>
      <c r="I113" s="131">
        <v>0.3</v>
      </c>
      <c r="J113" s="132">
        <f t="shared" si="91"/>
        <v>0.3</v>
      </c>
      <c r="K113" s="133">
        <f>'LABOR SHEET'!C$3</f>
        <v>128</v>
      </c>
      <c r="L113" s="134">
        <f t="shared" si="92"/>
        <v>38.4</v>
      </c>
      <c r="M113" s="134">
        <f t="shared" si="93"/>
        <v>38.4</v>
      </c>
      <c r="N113" s="134">
        <v>22</v>
      </c>
      <c r="O113" s="134">
        <f t="shared" si="94"/>
        <v>22</v>
      </c>
      <c r="P113" s="134">
        <f t="shared" si="95"/>
        <v>60.4</v>
      </c>
      <c r="Q113" s="164">
        <f t="shared" si="96"/>
        <v>60.4</v>
      </c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</row>
    <row r="114" spans="1:36" s="30" customFormat="1">
      <c r="A114" s="83">
        <f>IF(F114&lt;&gt;"",1+MAX($A$2:A113),"")</f>
        <v>87</v>
      </c>
      <c r="B114" s="84"/>
      <c r="C114" s="85"/>
      <c r="D114" s="58" t="s">
        <v>141</v>
      </c>
      <c r="E114" s="61">
        <v>1</v>
      </c>
      <c r="F114" s="60">
        <v>0</v>
      </c>
      <c r="G114" s="55">
        <f t="shared" si="84"/>
        <v>1</v>
      </c>
      <c r="H114" s="59" t="s">
        <v>71</v>
      </c>
      <c r="I114" s="131">
        <v>0.25</v>
      </c>
      <c r="J114" s="132">
        <f t="shared" si="91"/>
        <v>0.25</v>
      </c>
      <c r="K114" s="133">
        <f>'LABOR SHEET'!C$3</f>
        <v>128</v>
      </c>
      <c r="L114" s="134">
        <f t="shared" si="92"/>
        <v>32</v>
      </c>
      <c r="M114" s="134">
        <f t="shared" si="93"/>
        <v>32</v>
      </c>
      <c r="N114" s="134">
        <v>18</v>
      </c>
      <c r="O114" s="134">
        <f t="shared" si="94"/>
        <v>18</v>
      </c>
      <c r="P114" s="134">
        <f t="shared" si="95"/>
        <v>50</v>
      </c>
      <c r="Q114" s="164">
        <f t="shared" si="96"/>
        <v>50</v>
      </c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</row>
    <row r="115" spans="1:36" s="30" customFormat="1">
      <c r="A115" s="83">
        <f>IF(F115&lt;&gt;"",1+MAX($A$2:A114),"")</f>
        <v>88</v>
      </c>
      <c r="B115" s="84"/>
      <c r="C115" s="85"/>
      <c r="D115" s="58" t="s">
        <v>142</v>
      </c>
      <c r="E115" s="61">
        <v>3</v>
      </c>
      <c r="F115" s="60">
        <v>0</v>
      </c>
      <c r="G115" s="55">
        <f t="shared" si="84"/>
        <v>3</v>
      </c>
      <c r="H115" s="59" t="s">
        <v>71</v>
      </c>
      <c r="I115" s="131">
        <v>0.3</v>
      </c>
      <c r="J115" s="132">
        <f t="shared" si="91"/>
        <v>0.9</v>
      </c>
      <c r="K115" s="133">
        <f>'LABOR SHEET'!C$3</f>
        <v>128</v>
      </c>
      <c r="L115" s="134">
        <f t="shared" si="92"/>
        <v>38.4</v>
      </c>
      <c r="M115" s="134">
        <f t="shared" si="93"/>
        <v>115.2</v>
      </c>
      <c r="N115" s="134">
        <v>22</v>
      </c>
      <c r="O115" s="134">
        <f t="shared" si="94"/>
        <v>66</v>
      </c>
      <c r="P115" s="134">
        <f t="shared" si="95"/>
        <v>60.4</v>
      </c>
      <c r="Q115" s="164">
        <f t="shared" si="96"/>
        <v>181.2</v>
      </c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</row>
    <row r="116" spans="1:36" s="30" customFormat="1">
      <c r="A116" s="83">
        <f>IF(F116&lt;&gt;"",1+MAX($A$2:A115),"")</f>
        <v>89</v>
      </c>
      <c r="B116" s="84"/>
      <c r="C116" s="85"/>
      <c r="D116" s="58" t="s">
        <v>143</v>
      </c>
      <c r="E116" s="61">
        <v>1</v>
      </c>
      <c r="F116" s="60">
        <v>0</v>
      </c>
      <c r="G116" s="55">
        <f t="shared" si="84"/>
        <v>1</v>
      </c>
      <c r="H116" s="59" t="s">
        <v>71</v>
      </c>
      <c r="I116" s="131">
        <v>0.25</v>
      </c>
      <c r="J116" s="132">
        <f t="shared" si="91"/>
        <v>0.25</v>
      </c>
      <c r="K116" s="133">
        <f>'LABOR SHEET'!C$3</f>
        <v>128</v>
      </c>
      <c r="L116" s="134">
        <f t="shared" si="92"/>
        <v>32</v>
      </c>
      <c r="M116" s="134">
        <f t="shared" si="93"/>
        <v>32</v>
      </c>
      <c r="N116" s="134">
        <v>18</v>
      </c>
      <c r="O116" s="134">
        <f t="shared" si="94"/>
        <v>18</v>
      </c>
      <c r="P116" s="134">
        <f t="shared" si="95"/>
        <v>50</v>
      </c>
      <c r="Q116" s="164">
        <f t="shared" si="96"/>
        <v>50</v>
      </c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</row>
    <row r="117" spans="1:36" s="30" customFormat="1">
      <c r="A117" s="83">
        <f>IF(F117&lt;&gt;"",1+MAX($A$2:A116),"")</f>
        <v>90</v>
      </c>
      <c r="B117" s="84"/>
      <c r="C117" s="85"/>
      <c r="D117" s="58" t="s">
        <v>144</v>
      </c>
      <c r="E117" s="61">
        <v>1</v>
      </c>
      <c r="F117" s="60">
        <v>0</v>
      </c>
      <c r="G117" s="55">
        <f t="shared" si="84"/>
        <v>1</v>
      </c>
      <c r="H117" s="59" t="s">
        <v>71</v>
      </c>
      <c r="I117" s="131">
        <v>0.3</v>
      </c>
      <c r="J117" s="132">
        <f t="shared" si="91"/>
        <v>0.3</v>
      </c>
      <c r="K117" s="133">
        <f>'LABOR SHEET'!C$3</f>
        <v>128</v>
      </c>
      <c r="L117" s="134">
        <f t="shared" si="92"/>
        <v>38.4</v>
      </c>
      <c r="M117" s="134">
        <f t="shared" si="93"/>
        <v>38.4</v>
      </c>
      <c r="N117" s="134">
        <v>22</v>
      </c>
      <c r="O117" s="134">
        <f t="shared" si="94"/>
        <v>22</v>
      </c>
      <c r="P117" s="134">
        <f t="shared" si="95"/>
        <v>60.4</v>
      </c>
      <c r="Q117" s="164">
        <f t="shared" si="96"/>
        <v>60.4</v>
      </c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</row>
    <row r="118" spans="1:36" s="30" customFormat="1">
      <c r="A118" s="83">
        <f>IF(F118&lt;&gt;"",1+MAX($A$2:A117),"")</f>
        <v>91</v>
      </c>
      <c r="B118" s="84"/>
      <c r="C118" s="85"/>
      <c r="D118" s="58" t="s">
        <v>145</v>
      </c>
      <c r="E118" s="61">
        <v>2</v>
      </c>
      <c r="F118" s="60">
        <v>0</v>
      </c>
      <c r="G118" s="55">
        <f t="shared" si="84"/>
        <v>2</v>
      </c>
      <c r="H118" s="59" t="s">
        <v>71</v>
      </c>
      <c r="I118" s="131">
        <v>0.25</v>
      </c>
      <c r="J118" s="132">
        <f t="shared" si="91"/>
        <v>0.5</v>
      </c>
      <c r="K118" s="133">
        <f>'LABOR SHEET'!C$3</f>
        <v>128</v>
      </c>
      <c r="L118" s="134">
        <f t="shared" si="92"/>
        <v>32</v>
      </c>
      <c r="M118" s="134">
        <f t="shared" si="93"/>
        <v>64</v>
      </c>
      <c r="N118" s="134">
        <v>18</v>
      </c>
      <c r="O118" s="134">
        <f t="shared" si="94"/>
        <v>36</v>
      </c>
      <c r="P118" s="134">
        <f t="shared" si="95"/>
        <v>50</v>
      </c>
      <c r="Q118" s="164">
        <f t="shared" si="96"/>
        <v>100</v>
      </c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</row>
    <row r="119" spans="1:36" s="30" customFormat="1">
      <c r="A119" s="83">
        <f>IF(F119&lt;&gt;"",1+MAX($A$2:A118),"")</f>
        <v>92</v>
      </c>
      <c r="B119" s="84"/>
      <c r="C119" s="85"/>
      <c r="D119" s="58" t="s">
        <v>146</v>
      </c>
      <c r="E119" s="61">
        <v>3</v>
      </c>
      <c r="F119" s="60">
        <v>0</v>
      </c>
      <c r="G119" s="55">
        <f t="shared" si="84"/>
        <v>3</v>
      </c>
      <c r="H119" s="59" t="s">
        <v>71</v>
      </c>
      <c r="I119" s="131">
        <v>0.3</v>
      </c>
      <c r="J119" s="132">
        <f t="shared" ref="J119" si="97">+I119*G119</f>
        <v>0.9</v>
      </c>
      <c r="K119" s="133">
        <f>'LABOR SHEET'!C$3</f>
        <v>128</v>
      </c>
      <c r="L119" s="134">
        <f t="shared" ref="L119" si="98">I119*K119</f>
        <v>38.4</v>
      </c>
      <c r="M119" s="134">
        <f t="shared" ref="M119" si="99">K119*J119</f>
        <v>115.2</v>
      </c>
      <c r="N119" s="134">
        <v>22</v>
      </c>
      <c r="O119" s="134">
        <f t="shared" ref="O119" si="100">N119*G119</f>
        <v>66</v>
      </c>
      <c r="P119" s="134">
        <f t="shared" ref="P119" si="101">(I119*K119)+N119</f>
        <v>60.4</v>
      </c>
      <c r="Q119" s="164">
        <f t="shared" ref="Q119" si="102">P119*G119</f>
        <v>181.2</v>
      </c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</row>
    <row r="120" spans="1:36" s="30" customFormat="1">
      <c r="A120" s="83" t="str">
        <f>IF(F120&lt;&gt;"",1+MAX($A$2:A119),"")</f>
        <v/>
      </c>
      <c r="B120" s="84"/>
      <c r="C120" s="85"/>
      <c r="D120" s="58"/>
      <c r="E120" s="61"/>
      <c r="F120" s="86"/>
      <c r="G120" s="87"/>
      <c r="H120" s="59"/>
      <c r="I120" s="131"/>
      <c r="J120" s="132"/>
      <c r="K120" s="133"/>
      <c r="L120" s="134"/>
      <c r="M120" s="134"/>
      <c r="N120" s="134"/>
      <c r="O120" s="134"/>
      <c r="P120" s="134"/>
      <c r="Q120" s="165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</row>
    <row r="121" spans="1:36" s="30" customFormat="1">
      <c r="A121" s="83" t="str">
        <f>IF(F121&lt;&gt;"",1+MAX($A$2:A120),"")</f>
        <v/>
      </c>
      <c r="B121" s="84"/>
      <c r="C121" s="85"/>
      <c r="D121" s="79" t="s">
        <v>147</v>
      </c>
      <c r="E121" s="61"/>
      <c r="F121" s="86"/>
      <c r="G121" s="87"/>
      <c r="H121" s="59"/>
      <c r="I121" s="131"/>
      <c r="J121" s="132"/>
      <c r="K121" s="133"/>
      <c r="L121" s="134"/>
      <c r="M121" s="134"/>
      <c r="N121" s="134"/>
      <c r="O121" s="134"/>
      <c r="P121" s="134"/>
      <c r="Q121" s="165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</row>
    <row r="122" spans="1:36" s="30" customFormat="1">
      <c r="A122" s="83">
        <f>IF(F122&lt;&gt;"",1+MAX($A$2:A121),"")</f>
        <v>93</v>
      </c>
      <c r="B122" s="84"/>
      <c r="C122" s="85"/>
      <c r="D122" s="58" t="s">
        <v>148</v>
      </c>
      <c r="E122" s="61">
        <v>193.31</v>
      </c>
      <c r="F122" s="60">
        <v>0</v>
      </c>
      <c r="G122" s="55">
        <f t="shared" ref="G122:G127" si="103">(F122*E122)+E122</f>
        <v>193.31</v>
      </c>
      <c r="H122" s="59" t="s">
        <v>54</v>
      </c>
      <c r="I122" s="131">
        <v>1.1000000000000001</v>
      </c>
      <c r="J122" s="132">
        <f t="shared" ref="J122:J127" si="104">+I122*G122</f>
        <v>212.64099999999999</v>
      </c>
      <c r="K122" s="133">
        <f>'LABOR SHEET'!C$3</f>
        <v>128</v>
      </c>
      <c r="L122" s="134">
        <f t="shared" ref="L122:L127" si="105">I122*K122</f>
        <v>140.80000000000001</v>
      </c>
      <c r="M122" s="134">
        <f t="shared" ref="M122:M127" si="106">K122*J122</f>
        <v>27218.047999999999</v>
      </c>
      <c r="N122" s="134">
        <v>163</v>
      </c>
      <c r="O122" s="134">
        <f t="shared" ref="O122:O127" si="107">N122*G122</f>
        <v>31509.53</v>
      </c>
      <c r="P122" s="134">
        <f t="shared" ref="P122:P127" si="108">(I122*K122)+N122</f>
        <v>303.8</v>
      </c>
      <c r="Q122" s="164">
        <f t="shared" ref="Q122:Q127" si="109">P122*G122</f>
        <v>58727.578000000001</v>
      </c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</row>
    <row r="123" spans="1:36" s="30" customFormat="1">
      <c r="A123" s="83">
        <f>IF(F123&lt;&gt;"",1+MAX($A$2:A122),"")</f>
        <v>94</v>
      </c>
      <c r="B123" s="84"/>
      <c r="C123" s="85"/>
      <c r="D123" s="58" t="s">
        <v>149</v>
      </c>
      <c r="E123" s="61">
        <v>235.88</v>
      </c>
      <c r="F123" s="60">
        <v>0</v>
      </c>
      <c r="G123" s="55">
        <f t="shared" si="103"/>
        <v>235.88</v>
      </c>
      <c r="H123" s="59" t="s">
        <v>54</v>
      </c>
      <c r="I123" s="131">
        <v>1.5</v>
      </c>
      <c r="J123" s="132">
        <f t="shared" si="104"/>
        <v>353.82</v>
      </c>
      <c r="K123" s="133">
        <f>'LABOR SHEET'!C$3</f>
        <v>128</v>
      </c>
      <c r="L123" s="134">
        <f t="shared" si="105"/>
        <v>192</v>
      </c>
      <c r="M123" s="134">
        <f t="shared" si="106"/>
        <v>45288.959999999999</v>
      </c>
      <c r="N123" s="134">
        <v>250</v>
      </c>
      <c r="O123" s="134">
        <f t="shared" si="107"/>
        <v>58970</v>
      </c>
      <c r="P123" s="134">
        <f t="shared" si="108"/>
        <v>442</v>
      </c>
      <c r="Q123" s="164">
        <f t="shared" si="109"/>
        <v>104258.96</v>
      </c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</row>
    <row r="124" spans="1:36" s="30" customFormat="1">
      <c r="A124" s="83">
        <f>IF(F124&lt;&gt;"",1+MAX($A$2:A123),"")</f>
        <v>95</v>
      </c>
      <c r="B124" s="84"/>
      <c r="C124" s="85"/>
      <c r="D124" s="58" t="s">
        <v>150</v>
      </c>
      <c r="E124" s="61">
        <v>1</v>
      </c>
      <c r="F124" s="60">
        <v>0</v>
      </c>
      <c r="G124" s="55">
        <f t="shared" si="103"/>
        <v>1</v>
      </c>
      <c r="H124" s="59" t="s">
        <v>71</v>
      </c>
      <c r="I124" s="131">
        <v>4</v>
      </c>
      <c r="J124" s="132">
        <f t="shared" si="104"/>
        <v>4</v>
      </c>
      <c r="K124" s="133">
        <f>'LABOR SHEET'!C$3</f>
        <v>128</v>
      </c>
      <c r="L124" s="134">
        <f t="shared" si="105"/>
        <v>512</v>
      </c>
      <c r="M124" s="134">
        <f t="shared" si="106"/>
        <v>512</v>
      </c>
      <c r="N124" s="134">
        <v>822.85</v>
      </c>
      <c r="O124" s="134">
        <f t="shared" si="107"/>
        <v>822.85</v>
      </c>
      <c r="P124" s="134">
        <f t="shared" si="108"/>
        <v>1334.85</v>
      </c>
      <c r="Q124" s="164">
        <f t="shared" si="109"/>
        <v>1334.85</v>
      </c>
      <c r="R124" s="167"/>
      <c r="S124" s="167"/>
      <c r="T124" s="167"/>
      <c r="U124" s="167"/>
      <c r="V124" s="167"/>
      <c r="W124" s="167"/>
      <c r="X124" s="167"/>
      <c r="Y124" s="167"/>
      <c r="Z124" s="167"/>
      <c r="AA124" s="167"/>
      <c r="AB124" s="167"/>
      <c r="AC124" s="167"/>
      <c r="AD124" s="167"/>
      <c r="AE124" s="167"/>
      <c r="AF124" s="167"/>
      <c r="AG124" s="167"/>
      <c r="AH124" s="167"/>
      <c r="AI124" s="167"/>
      <c r="AJ124" s="167"/>
    </row>
    <row r="125" spans="1:36" s="30" customFormat="1">
      <c r="A125" s="83">
        <f>IF(F125&lt;&gt;"",1+MAX($A$2:A124),"")</f>
        <v>96</v>
      </c>
      <c r="B125" s="84"/>
      <c r="C125" s="85"/>
      <c r="D125" s="58" t="s">
        <v>151</v>
      </c>
      <c r="E125" s="61">
        <v>1</v>
      </c>
      <c r="F125" s="60">
        <v>0</v>
      </c>
      <c r="G125" s="55">
        <f t="shared" si="103"/>
        <v>1</v>
      </c>
      <c r="H125" s="59" t="s">
        <v>71</v>
      </c>
      <c r="I125" s="131">
        <v>3.5</v>
      </c>
      <c r="J125" s="132">
        <f t="shared" si="104"/>
        <v>3.5</v>
      </c>
      <c r="K125" s="133">
        <f>'LABOR SHEET'!C$3</f>
        <v>128</v>
      </c>
      <c r="L125" s="134">
        <f t="shared" si="105"/>
        <v>448</v>
      </c>
      <c r="M125" s="134">
        <f t="shared" si="106"/>
        <v>448</v>
      </c>
      <c r="N125" s="134">
        <v>606</v>
      </c>
      <c r="O125" s="134">
        <f t="shared" si="107"/>
        <v>606</v>
      </c>
      <c r="P125" s="134">
        <f t="shared" si="108"/>
        <v>1054</v>
      </c>
      <c r="Q125" s="164">
        <f t="shared" si="109"/>
        <v>1054</v>
      </c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167"/>
    </row>
    <row r="126" spans="1:36" s="30" customFormat="1">
      <c r="A126" s="83">
        <f>IF(F126&lt;&gt;"",1+MAX($A$2:A125),"")</f>
        <v>97</v>
      </c>
      <c r="B126" s="84"/>
      <c r="C126" s="85"/>
      <c r="D126" s="58" t="s">
        <v>152</v>
      </c>
      <c r="E126" s="61">
        <v>2859.26</v>
      </c>
      <c r="F126" s="60">
        <v>0</v>
      </c>
      <c r="G126" s="55">
        <f t="shared" si="103"/>
        <v>2859.26</v>
      </c>
      <c r="H126" s="59" t="s">
        <v>54</v>
      </c>
      <c r="I126" s="131">
        <v>4.4999999999999998E-2</v>
      </c>
      <c r="J126" s="132">
        <f t="shared" si="104"/>
        <v>128.66669999999999</v>
      </c>
      <c r="K126" s="133">
        <f>'LABOR SHEET'!C$3</f>
        <v>128</v>
      </c>
      <c r="L126" s="134">
        <f t="shared" si="105"/>
        <v>5.76</v>
      </c>
      <c r="M126" s="134">
        <f t="shared" si="106"/>
        <v>16469.337599999999</v>
      </c>
      <c r="N126" s="134">
        <v>1.2</v>
      </c>
      <c r="O126" s="134">
        <f t="shared" si="107"/>
        <v>3431.1120000000001</v>
      </c>
      <c r="P126" s="134">
        <f t="shared" si="108"/>
        <v>6.96</v>
      </c>
      <c r="Q126" s="164">
        <f t="shared" si="109"/>
        <v>19900.4496</v>
      </c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7"/>
    </row>
    <row r="127" spans="1:36" s="30" customFormat="1">
      <c r="A127" s="83">
        <f>IF(F127&lt;&gt;"",1+MAX($A$2:A126),"")</f>
        <v>98</v>
      </c>
      <c r="B127" s="84"/>
      <c r="C127" s="85"/>
      <c r="D127" s="58" t="s">
        <v>153</v>
      </c>
      <c r="E127" s="61">
        <v>429.18</v>
      </c>
      <c r="F127" s="60">
        <v>0</v>
      </c>
      <c r="G127" s="55">
        <f t="shared" si="103"/>
        <v>429.18</v>
      </c>
      <c r="H127" s="59" t="s">
        <v>54</v>
      </c>
      <c r="I127" s="131">
        <v>0.02</v>
      </c>
      <c r="J127" s="132">
        <f t="shared" si="104"/>
        <v>8.5836000000000006</v>
      </c>
      <c r="K127" s="133">
        <f>'LABOR SHEET'!C$3</f>
        <v>128</v>
      </c>
      <c r="L127" s="134">
        <f t="shared" si="105"/>
        <v>2.56</v>
      </c>
      <c r="M127" s="134">
        <f t="shared" si="106"/>
        <v>1098.7008000000001</v>
      </c>
      <c r="N127" s="134">
        <v>1.5</v>
      </c>
      <c r="O127" s="134">
        <f t="shared" si="107"/>
        <v>643.77</v>
      </c>
      <c r="P127" s="134">
        <f t="shared" si="108"/>
        <v>4.0599999999999996</v>
      </c>
      <c r="Q127" s="164">
        <f t="shared" si="109"/>
        <v>1742.4708000000001</v>
      </c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7"/>
    </row>
    <row r="128" spans="1:36" s="30" customFormat="1">
      <c r="A128" s="83" t="str">
        <f>IF(F128&lt;&gt;"",1+MAX($A$2:A127),"")</f>
        <v/>
      </c>
      <c r="B128" s="84"/>
      <c r="C128" s="85"/>
      <c r="D128" s="58"/>
      <c r="E128" s="61"/>
      <c r="F128" s="86"/>
      <c r="G128" s="87"/>
      <c r="H128" s="59"/>
      <c r="I128" s="131"/>
      <c r="J128" s="132"/>
      <c r="K128" s="133"/>
      <c r="L128" s="134"/>
      <c r="M128" s="134"/>
      <c r="N128" s="134"/>
      <c r="O128" s="134"/>
      <c r="P128" s="134"/>
      <c r="Q128" s="165"/>
      <c r="R128" s="167"/>
      <c r="S128" s="167"/>
      <c r="T128" s="167"/>
      <c r="U128" s="167"/>
      <c r="V128" s="167"/>
      <c r="W128" s="167"/>
      <c r="X128" s="167"/>
      <c r="Y128" s="167"/>
      <c r="Z128" s="167"/>
      <c r="AA128" s="167"/>
      <c r="AB128" s="167"/>
      <c r="AC128" s="167"/>
      <c r="AD128" s="167"/>
      <c r="AE128" s="167"/>
      <c r="AF128" s="167"/>
      <c r="AG128" s="167"/>
      <c r="AH128" s="167"/>
      <c r="AI128" s="167"/>
      <c r="AJ128" s="167"/>
    </row>
    <row r="129" spans="1:36" s="30" customFormat="1">
      <c r="A129" s="83" t="str">
        <f>IF(F129&lt;&gt;"",1+MAX($A$2:A128),"")</f>
        <v/>
      </c>
      <c r="B129" s="84"/>
      <c r="C129" s="85"/>
      <c r="D129" s="49" t="s">
        <v>154</v>
      </c>
      <c r="E129" s="61"/>
      <c r="F129" s="86"/>
      <c r="G129" s="87"/>
      <c r="H129" s="59"/>
      <c r="I129" s="131"/>
      <c r="J129" s="132"/>
      <c r="K129" s="133"/>
      <c r="L129" s="134"/>
      <c r="M129" s="134"/>
      <c r="N129" s="134"/>
      <c r="O129" s="134"/>
      <c r="P129" s="134"/>
      <c r="Q129" s="165"/>
      <c r="R129" s="167"/>
      <c r="S129" s="167"/>
      <c r="T129" s="167"/>
      <c r="U129" s="167"/>
      <c r="V129" s="167"/>
      <c r="W129" s="167"/>
      <c r="X129" s="167"/>
      <c r="Y129" s="167"/>
      <c r="Z129" s="167"/>
      <c r="AA129" s="167"/>
      <c r="AB129" s="167"/>
      <c r="AC129" s="167"/>
      <c r="AD129" s="167"/>
      <c r="AE129" s="167"/>
      <c r="AF129" s="167"/>
      <c r="AG129" s="167"/>
      <c r="AH129" s="167"/>
      <c r="AI129" s="167"/>
      <c r="AJ129" s="167"/>
    </row>
    <row r="130" spans="1:36" s="30" customFormat="1">
      <c r="A130" s="83" t="str">
        <f>IF(F130&lt;&gt;"",1+MAX($A$2:A129),"")</f>
        <v/>
      </c>
      <c r="B130" s="84"/>
      <c r="C130" s="85"/>
      <c r="D130" s="79" t="s">
        <v>155</v>
      </c>
      <c r="E130" s="61"/>
      <c r="F130" s="86"/>
      <c r="G130" s="87"/>
      <c r="H130" s="59"/>
      <c r="I130" s="131"/>
      <c r="J130" s="132"/>
      <c r="K130" s="133"/>
      <c r="L130" s="134"/>
      <c r="M130" s="134"/>
      <c r="N130" s="134"/>
      <c r="O130" s="134"/>
      <c r="P130" s="134"/>
      <c r="Q130" s="165"/>
      <c r="R130" s="167"/>
      <c r="S130" s="167"/>
      <c r="T130" s="167"/>
      <c r="U130" s="167"/>
      <c r="V130" s="167"/>
      <c r="W130" s="167"/>
      <c r="X130" s="167"/>
      <c r="Y130" s="167"/>
      <c r="Z130" s="167"/>
      <c r="AA130" s="167"/>
      <c r="AB130" s="167"/>
      <c r="AC130" s="167"/>
      <c r="AD130" s="167"/>
      <c r="AE130" s="167"/>
      <c r="AF130" s="167"/>
      <c r="AG130" s="167"/>
      <c r="AH130" s="167"/>
      <c r="AI130" s="167"/>
      <c r="AJ130" s="167"/>
    </row>
    <row r="131" spans="1:36" s="30" customFormat="1">
      <c r="A131" s="83" t="str">
        <f>IF(F131&lt;&gt;"",1+MAX($A$2:A130),"")</f>
        <v/>
      </c>
      <c r="B131" s="84"/>
      <c r="C131" s="85"/>
      <c r="D131" s="88" t="s">
        <v>52</v>
      </c>
      <c r="E131" s="61"/>
      <c r="F131" s="86"/>
      <c r="G131" s="87"/>
      <c r="H131" s="59"/>
      <c r="I131" s="131"/>
      <c r="J131" s="132"/>
      <c r="K131" s="133"/>
      <c r="L131" s="134"/>
      <c r="M131" s="134"/>
      <c r="N131" s="134"/>
      <c r="O131" s="134"/>
      <c r="P131" s="134"/>
      <c r="Q131" s="165"/>
      <c r="R131" s="167"/>
      <c r="S131" s="167"/>
      <c r="T131" s="167"/>
      <c r="U131" s="167"/>
      <c r="V131" s="167"/>
      <c r="W131" s="167"/>
      <c r="X131" s="167"/>
      <c r="Y131" s="167"/>
      <c r="Z131" s="167"/>
      <c r="AA131" s="167"/>
      <c r="AB131" s="167"/>
      <c r="AC131" s="167"/>
      <c r="AD131" s="167"/>
      <c r="AE131" s="167"/>
      <c r="AF131" s="167"/>
      <c r="AG131" s="167"/>
      <c r="AH131" s="167"/>
      <c r="AI131" s="167"/>
      <c r="AJ131" s="167"/>
    </row>
    <row r="132" spans="1:36" s="30" customFormat="1">
      <c r="A132" s="83">
        <f>IF(F132&lt;&gt;"",1+MAX($A$2:A131),"")</f>
        <v>99</v>
      </c>
      <c r="B132" s="84"/>
      <c r="C132" s="85"/>
      <c r="D132" s="58" t="s">
        <v>156</v>
      </c>
      <c r="E132" s="61">
        <v>2332.85</v>
      </c>
      <c r="F132" s="60">
        <v>0.05</v>
      </c>
      <c r="G132" s="55">
        <f t="shared" ref="G132:G139" si="110">(F132*E132)+E132</f>
        <v>2449.4924999999998</v>
      </c>
      <c r="H132" s="59" t="s">
        <v>54</v>
      </c>
      <c r="I132" s="131">
        <v>0.05</v>
      </c>
      <c r="J132" s="132">
        <f t="shared" ref="J132" si="111">+I132*G132</f>
        <v>122.474625</v>
      </c>
      <c r="K132" s="133">
        <f>'LABOR SHEET'!C$3</f>
        <v>128</v>
      </c>
      <c r="L132" s="134">
        <f t="shared" ref="L132" si="112">I132*K132</f>
        <v>6.4</v>
      </c>
      <c r="M132" s="134">
        <f t="shared" ref="M132" si="113">K132*J132</f>
        <v>15676.752</v>
      </c>
      <c r="N132" s="134">
        <f>11.46/10+0.25</f>
        <v>1.3959999999999999</v>
      </c>
      <c r="O132" s="134">
        <f t="shared" ref="O132" si="114">N132*G132</f>
        <v>3419.4915299999998</v>
      </c>
      <c r="P132" s="134">
        <f t="shared" ref="P132" si="115">(I132*K132)+N132</f>
        <v>7.7960000000000003</v>
      </c>
      <c r="Q132" s="164">
        <f t="shared" ref="Q132" si="116">P132*G132</f>
        <v>19096.24353</v>
      </c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  <c r="AI132" s="167"/>
      <c r="AJ132" s="167"/>
    </row>
    <row r="133" spans="1:36" s="30" customFormat="1">
      <c r="A133" s="83">
        <f>IF(F133&lt;&gt;"",1+MAX($A$2:A132),"")</f>
        <v>100</v>
      </c>
      <c r="B133" s="84"/>
      <c r="C133" s="85"/>
      <c r="D133" s="58" t="s">
        <v>157</v>
      </c>
      <c r="E133" s="61">
        <v>4559.0600000000004</v>
      </c>
      <c r="F133" s="60">
        <v>0.05</v>
      </c>
      <c r="G133" s="55">
        <f t="shared" si="110"/>
        <v>4787.0129999999999</v>
      </c>
      <c r="H133" s="59" t="s">
        <v>54</v>
      </c>
      <c r="I133" s="131">
        <v>3.5000000000000003E-2</v>
      </c>
      <c r="J133" s="132">
        <f t="shared" ref="J133" si="117">+I133*G133</f>
        <v>167.545455</v>
      </c>
      <c r="K133" s="133">
        <f>'LABOR SHEET'!C$3</f>
        <v>128</v>
      </c>
      <c r="L133" s="134">
        <f t="shared" ref="L133" si="118">I133*K133</f>
        <v>4.4800000000000004</v>
      </c>
      <c r="M133" s="134">
        <f t="shared" ref="M133" si="119">K133*J133</f>
        <v>21445.818240000001</v>
      </c>
      <c r="N133" s="134">
        <f>9.68/10+0.35</f>
        <v>1.3180000000000001</v>
      </c>
      <c r="O133" s="134">
        <f t="shared" ref="O133" si="120">N133*G133</f>
        <v>6309.2831340000002</v>
      </c>
      <c r="P133" s="134">
        <f t="shared" ref="P133" si="121">(I133*K133)+N133</f>
        <v>5.798</v>
      </c>
      <c r="Q133" s="164">
        <f t="shared" ref="Q133" si="122">P133*G133</f>
        <v>27755.101374000002</v>
      </c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7"/>
    </row>
    <row r="134" spans="1:36" s="30" customFormat="1">
      <c r="A134" s="83" t="str">
        <f>IF(F134&lt;&gt;"",1+MAX($A$2:A133),"")</f>
        <v/>
      </c>
      <c r="B134" s="84"/>
      <c r="C134" s="85"/>
      <c r="D134" s="58"/>
      <c r="E134" s="61"/>
      <c r="F134" s="86"/>
      <c r="G134" s="87"/>
      <c r="H134" s="59"/>
      <c r="I134" s="131"/>
      <c r="J134" s="132"/>
      <c r="K134" s="133"/>
      <c r="L134" s="134"/>
      <c r="M134" s="134"/>
      <c r="N134" s="134"/>
      <c r="O134" s="134"/>
      <c r="P134" s="134"/>
      <c r="Q134" s="165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</row>
    <row r="135" spans="1:36" s="30" customFormat="1">
      <c r="A135" s="83" t="str">
        <f>IF(F135&lt;&gt;"",1+MAX($A$2:A134),"")</f>
        <v/>
      </c>
      <c r="B135" s="84"/>
      <c r="C135" s="85"/>
      <c r="D135" s="88" t="s">
        <v>60</v>
      </c>
      <c r="E135" s="61"/>
      <c r="F135" s="86"/>
      <c r="G135" s="87"/>
      <c r="H135" s="59"/>
      <c r="I135" s="131"/>
      <c r="J135" s="132"/>
      <c r="K135" s="133"/>
      <c r="L135" s="134"/>
      <c r="M135" s="134"/>
      <c r="N135" s="134"/>
      <c r="O135" s="134"/>
      <c r="P135" s="134"/>
      <c r="Q135" s="165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7"/>
    </row>
    <row r="136" spans="1:36" s="30" customFormat="1">
      <c r="A136" s="83">
        <f>IF(F136&lt;&gt;"",1+MAX($A$2:A135),"")</f>
        <v>101</v>
      </c>
      <c r="B136" s="84"/>
      <c r="C136" s="85"/>
      <c r="D136" s="58" t="s">
        <v>66</v>
      </c>
      <c r="E136" s="61">
        <v>3672.22</v>
      </c>
      <c r="F136" s="60">
        <v>0.05</v>
      </c>
      <c r="G136" s="55">
        <f t="shared" si="110"/>
        <v>3855.8310000000001</v>
      </c>
      <c r="H136" s="59" t="s">
        <v>54</v>
      </c>
      <c r="I136" s="131">
        <v>1.2E-2</v>
      </c>
      <c r="J136" s="132">
        <f t="shared" ref="J136:J139" si="123">+I136*G136</f>
        <v>46.269972000000003</v>
      </c>
      <c r="K136" s="133">
        <f>'LABOR SHEET'!C$3</f>
        <v>128</v>
      </c>
      <c r="L136" s="134">
        <f t="shared" ref="L136:L139" si="124">I136*K136</f>
        <v>1.536</v>
      </c>
      <c r="M136" s="134">
        <f t="shared" ref="M136:M139" si="125">K136*J136</f>
        <v>5922.5564160000004</v>
      </c>
      <c r="N136" s="134">
        <v>0.82</v>
      </c>
      <c r="O136" s="134">
        <f t="shared" ref="O136:O139" si="126">N136*G136</f>
        <v>3161.7814199999998</v>
      </c>
      <c r="P136" s="134">
        <f t="shared" ref="P136:P139" si="127">(I136*K136)+N136</f>
        <v>2.3559999999999999</v>
      </c>
      <c r="Q136" s="164">
        <f t="shared" ref="Q136:Q139" si="128">P136*G136</f>
        <v>9084.3378360000006</v>
      </c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7"/>
    </row>
    <row r="137" spans="1:36" s="30" customFormat="1">
      <c r="A137" s="83">
        <f>IF(F137&lt;&gt;"",1+MAX($A$2:A136),"")</f>
        <v>102</v>
      </c>
      <c r="B137" s="84"/>
      <c r="C137" s="85"/>
      <c r="D137" s="58" t="s">
        <v>158</v>
      </c>
      <c r="E137" s="61">
        <v>8829.35</v>
      </c>
      <c r="F137" s="60">
        <v>0.05</v>
      </c>
      <c r="G137" s="55">
        <f t="shared" si="110"/>
        <v>9270.8174999999992</v>
      </c>
      <c r="H137" s="59" t="s">
        <v>54</v>
      </c>
      <c r="I137" s="131">
        <v>0.01</v>
      </c>
      <c r="J137" s="132">
        <f t="shared" si="123"/>
        <v>92.708174999999997</v>
      </c>
      <c r="K137" s="133">
        <f>'LABOR SHEET'!C$3</f>
        <v>128</v>
      </c>
      <c r="L137" s="134">
        <f t="shared" si="124"/>
        <v>1.28</v>
      </c>
      <c r="M137" s="134">
        <f t="shared" si="125"/>
        <v>11866.6464</v>
      </c>
      <c r="N137" s="134">
        <v>0.38</v>
      </c>
      <c r="O137" s="134">
        <f t="shared" si="126"/>
        <v>3522.9106499999998</v>
      </c>
      <c r="P137" s="134">
        <f t="shared" si="127"/>
        <v>1.66</v>
      </c>
      <c r="Q137" s="164">
        <f t="shared" si="128"/>
        <v>15389.557049999999</v>
      </c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7"/>
    </row>
    <row r="138" spans="1:36" s="30" customFormat="1">
      <c r="A138" s="83">
        <f>IF(F138&lt;&gt;"",1+MAX($A$2:A137),"")</f>
        <v>103</v>
      </c>
      <c r="B138" s="84"/>
      <c r="C138" s="85"/>
      <c r="D138" s="58" t="s">
        <v>159</v>
      </c>
      <c r="E138" s="61">
        <v>8842.35</v>
      </c>
      <c r="F138" s="60">
        <v>0.05</v>
      </c>
      <c r="G138" s="55">
        <f t="shared" si="110"/>
        <v>9284.4675000000007</v>
      </c>
      <c r="H138" s="59" t="s">
        <v>54</v>
      </c>
      <c r="I138" s="131">
        <v>8.9999999999999993E-3</v>
      </c>
      <c r="J138" s="132">
        <f t="shared" si="123"/>
        <v>83.560207500000004</v>
      </c>
      <c r="K138" s="133">
        <f>'LABOR SHEET'!C$3</f>
        <v>128</v>
      </c>
      <c r="L138" s="134">
        <f t="shared" si="124"/>
        <v>1.1519999999999999</v>
      </c>
      <c r="M138" s="134">
        <f t="shared" si="125"/>
        <v>10695.706560000001</v>
      </c>
      <c r="N138" s="134">
        <v>0.28000000000000003</v>
      </c>
      <c r="O138" s="134">
        <f t="shared" si="126"/>
        <v>2599.6509000000001</v>
      </c>
      <c r="P138" s="134">
        <f t="shared" si="127"/>
        <v>1.4319999999999999</v>
      </c>
      <c r="Q138" s="164">
        <f t="shared" si="128"/>
        <v>13295.357459999999</v>
      </c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7"/>
    </row>
    <row r="139" spans="1:36" s="30" customFormat="1">
      <c r="A139" s="83">
        <f>IF(F139&lt;&gt;"",1+MAX($A$2:A138),"")</f>
        <v>104</v>
      </c>
      <c r="B139" s="84"/>
      <c r="C139" s="85"/>
      <c r="D139" s="58" t="s">
        <v>160</v>
      </c>
      <c r="E139" s="61">
        <v>2295.16</v>
      </c>
      <c r="F139" s="60">
        <v>0.05</v>
      </c>
      <c r="G139" s="55">
        <f t="shared" si="110"/>
        <v>2409.9180000000001</v>
      </c>
      <c r="H139" s="59" t="s">
        <v>54</v>
      </c>
      <c r="I139" s="131">
        <v>8.0000000000000002E-3</v>
      </c>
      <c r="J139" s="132">
        <f t="shared" si="123"/>
        <v>19.279343999999998</v>
      </c>
      <c r="K139" s="133">
        <f>'LABOR SHEET'!C$3</f>
        <v>128</v>
      </c>
      <c r="L139" s="134">
        <f t="shared" si="124"/>
        <v>1.024</v>
      </c>
      <c r="M139" s="134">
        <f t="shared" si="125"/>
        <v>2467.7560319999998</v>
      </c>
      <c r="N139" s="134">
        <f>90/500</f>
        <v>0.18</v>
      </c>
      <c r="O139" s="134">
        <f t="shared" si="126"/>
        <v>433.78523999999999</v>
      </c>
      <c r="P139" s="134">
        <f t="shared" si="127"/>
        <v>1.204</v>
      </c>
      <c r="Q139" s="164">
        <f t="shared" si="128"/>
        <v>2901.5412719999999</v>
      </c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</row>
    <row r="140" spans="1:36" s="30" customFormat="1">
      <c r="A140" s="83" t="str">
        <f>IF(F140&lt;&gt;"",1+MAX($A$2:A139),"")</f>
        <v/>
      </c>
      <c r="B140" s="84"/>
      <c r="C140" s="85"/>
      <c r="D140" s="58"/>
      <c r="E140" s="61"/>
      <c r="F140" s="86"/>
      <c r="G140" s="87"/>
      <c r="H140" s="59"/>
      <c r="I140" s="131"/>
      <c r="J140" s="132"/>
      <c r="K140" s="133"/>
      <c r="L140" s="134"/>
      <c r="M140" s="134"/>
      <c r="N140" s="134"/>
      <c r="O140" s="134"/>
      <c r="P140" s="134"/>
      <c r="Q140" s="165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</row>
    <row r="141" spans="1:36" s="30" customFormat="1">
      <c r="A141" s="83" t="str">
        <f>IF(F141&lt;&gt;"",1+MAX($A$2:A140),"")</f>
        <v/>
      </c>
      <c r="B141" s="84"/>
      <c r="C141" s="85"/>
      <c r="D141" s="79" t="s">
        <v>161</v>
      </c>
      <c r="E141" s="61"/>
      <c r="F141" s="86"/>
      <c r="G141" s="87"/>
      <c r="H141" s="59"/>
      <c r="I141" s="131"/>
      <c r="J141" s="132"/>
      <c r="K141" s="133"/>
      <c r="L141" s="134"/>
      <c r="M141" s="134"/>
      <c r="N141" s="134"/>
      <c r="O141" s="134"/>
      <c r="P141" s="134"/>
      <c r="Q141" s="165"/>
      <c r="R141" s="167"/>
      <c r="S141" s="167"/>
      <c r="T141" s="167"/>
      <c r="U141" s="167"/>
      <c r="V141" s="167"/>
      <c r="W141" s="167"/>
      <c r="X141" s="167"/>
      <c r="Y141" s="167"/>
      <c r="Z141" s="167"/>
      <c r="AA141" s="167"/>
      <c r="AB141" s="167"/>
      <c r="AC141" s="167"/>
      <c r="AD141" s="167"/>
      <c r="AE141" s="167"/>
      <c r="AF141" s="167"/>
      <c r="AG141" s="167"/>
      <c r="AH141" s="167"/>
      <c r="AI141" s="167"/>
      <c r="AJ141" s="167"/>
    </row>
    <row r="142" spans="1:36" s="30" customFormat="1">
      <c r="A142" s="83" t="str">
        <f>IF(F142&lt;&gt;"",1+MAX($A$2:A141),"")</f>
        <v/>
      </c>
      <c r="B142" s="84"/>
      <c r="C142" s="85"/>
      <c r="D142" s="88" t="s">
        <v>52</v>
      </c>
      <c r="E142" s="61"/>
      <c r="F142" s="86"/>
      <c r="G142" s="87"/>
      <c r="H142" s="59"/>
      <c r="I142" s="131"/>
      <c r="J142" s="132"/>
      <c r="K142" s="133"/>
      <c r="L142" s="134"/>
      <c r="M142" s="134"/>
      <c r="N142" s="134"/>
      <c r="O142" s="134"/>
      <c r="P142" s="134"/>
      <c r="Q142" s="165"/>
      <c r="R142" s="167"/>
      <c r="S142" s="167"/>
      <c r="T142" s="167"/>
      <c r="U142" s="167"/>
      <c r="V142" s="167"/>
      <c r="W142" s="167"/>
      <c r="X142" s="167"/>
      <c r="Y142" s="167"/>
      <c r="Z142" s="167"/>
      <c r="AA142" s="167"/>
      <c r="AB142" s="167"/>
      <c r="AC142" s="167"/>
      <c r="AD142" s="167"/>
      <c r="AE142" s="167"/>
      <c r="AF142" s="167"/>
      <c r="AG142" s="167"/>
      <c r="AH142" s="167"/>
      <c r="AI142" s="167"/>
      <c r="AJ142" s="167"/>
    </row>
    <row r="143" spans="1:36" s="30" customFormat="1">
      <c r="A143" s="83">
        <f>IF(F143&lt;&gt;"",1+MAX($A$2:A142),"")</f>
        <v>105</v>
      </c>
      <c r="B143" s="84"/>
      <c r="C143" s="85"/>
      <c r="D143" s="58" t="s">
        <v>162</v>
      </c>
      <c r="E143" s="61">
        <v>323.13</v>
      </c>
      <c r="F143" s="60">
        <v>0.05</v>
      </c>
      <c r="G143" s="55">
        <f t="shared" ref="G143:G154" si="129">(F143*E143)+E143</f>
        <v>339.28649999999999</v>
      </c>
      <c r="H143" s="59" t="s">
        <v>54</v>
      </c>
      <c r="I143" s="131">
        <v>7.0000000000000007E-2</v>
      </c>
      <c r="J143" s="132">
        <f t="shared" ref="J143:J154" si="130">+I143*G143</f>
        <v>23.750055</v>
      </c>
      <c r="K143" s="133">
        <f>'LABOR SHEET'!C$3</f>
        <v>128</v>
      </c>
      <c r="L143" s="134">
        <f t="shared" ref="L143:L154" si="131">I143*K143</f>
        <v>8.9600000000000009</v>
      </c>
      <c r="M143" s="134">
        <f t="shared" ref="M143:M154" si="132">K143*J143</f>
        <v>3040.00704</v>
      </c>
      <c r="N143" s="134">
        <f>28.95/10+0.4</f>
        <v>3.2949999999999999</v>
      </c>
      <c r="O143" s="134">
        <f t="shared" ref="O143:O154" si="133">N143*G143</f>
        <v>1117.9490175000001</v>
      </c>
      <c r="P143" s="134">
        <f t="shared" ref="P143:P154" si="134">(I143*K143)+N143</f>
        <v>12.255000000000001</v>
      </c>
      <c r="Q143" s="164">
        <f t="shared" ref="Q143:Q154" si="135">P143*G143</f>
        <v>4157.9560574999996</v>
      </c>
      <c r="R143" s="167"/>
      <c r="S143" s="167"/>
      <c r="T143" s="167"/>
      <c r="U143" s="167"/>
      <c r="V143" s="167"/>
      <c r="W143" s="167"/>
      <c r="X143" s="167"/>
      <c r="Y143" s="167"/>
      <c r="Z143" s="167"/>
      <c r="AA143" s="167"/>
      <c r="AB143" s="167"/>
      <c r="AC143" s="167"/>
      <c r="AD143" s="167"/>
      <c r="AE143" s="167"/>
      <c r="AF143" s="167"/>
      <c r="AG143" s="167"/>
      <c r="AH143" s="167"/>
      <c r="AI143" s="167"/>
      <c r="AJ143" s="167"/>
    </row>
    <row r="144" spans="1:36" s="30" customFormat="1">
      <c r="A144" s="83">
        <f>IF(F144&lt;&gt;"",1+MAX($A$2:A143),"")</f>
        <v>106</v>
      </c>
      <c r="B144" s="84"/>
      <c r="C144" s="85"/>
      <c r="D144" s="58" t="s">
        <v>163</v>
      </c>
      <c r="E144" s="61">
        <v>10</v>
      </c>
      <c r="F144" s="60">
        <v>0.05</v>
      </c>
      <c r="G144" s="55">
        <f t="shared" si="129"/>
        <v>10.5</v>
      </c>
      <c r="H144" s="59" t="s">
        <v>54</v>
      </c>
      <c r="I144" s="131">
        <v>0.112</v>
      </c>
      <c r="J144" s="132">
        <f t="shared" si="130"/>
        <v>1.1759999999999999</v>
      </c>
      <c r="K144" s="133">
        <f>'LABOR SHEET'!C$3</f>
        <v>128</v>
      </c>
      <c r="L144" s="134">
        <f t="shared" si="131"/>
        <v>14.336</v>
      </c>
      <c r="M144" s="134">
        <f t="shared" si="132"/>
        <v>150.52799999999999</v>
      </c>
      <c r="N144" s="134">
        <f>73.48/10</f>
        <v>7.3479999999999999</v>
      </c>
      <c r="O144" s="134">
        <f t="shared" si="133"/>
        <v>77.153999999999996</v>
      </c>
      <c r="P144" s="134">
        <f t="shared" si="134"/>
        <v>21.684000000000001</v>
      </c>
      <c r="Q144" s="164">
        <f t="shared" si="135"/>
        <v>227.68199999999999</v>
      </c>
      <c r="R144" s="167"/>
      <c r="S144" s="167"/>
      <c r="T144" s="167"/>
      <c r="U144" s="167"/>
      <c r="V144" s="167"/>
      <c r="W144" s="167"/>
      <c r="X144" s="167"/>
      <c r="Y144" s="167"/>
      <c r="Z144" s="167"/>
      <c r="AA144" s="167"/>
      <c r="AB144" s="167"/>
      <c r="AC144" s="167"/>
      <c r="AD144" s="167"/>
      <c r="AE144" s="167"/>
      <c r="AF144" s="167"/>
      <c r="AG144" s="167"/>
      <c r="AH144" s="167"/>
      <c r="AI144" s="167"/>
      <c r="AJ144" s="167"/>
    </row>
    <row r="145" spans="1:36" s="30" customFormat="1">
      <c r="A145" s="83">
        <f>IF(F145&lt;&gt;"",1+MAX($A$2:A144),"")</f>
        <v>107</v>
      </c>
      <c r="B145" s="84"/>
      <c r="C145" s="85"/>
      <c r="D145" s="58" t="s">
        <v>164</v>
      </c>
      <c r="E145" s="61">
        <v>10</v>
      </c>
      <c r="F145" s="60">
        <v>0.05</v>
      </c>
      <c r="G145" s="55">
        <f t="shared" si="129"/>
        <v>10.5</v>
      </c>
      <c r="H145" s="59" t="s">
        <v>54</v>
      </c>
      <c r="I145" s="131">
        <v>0.16</v>
      </c>
      <c r="J145" s="132">
        <f t="shared" si="130"/>
        <v>1.68</v>
      </c>
      <c r="K145" s="133">
        <f>'LABOR SHEET'!C$3</f>
        <v>128</v>
      </c>
      <c r="L145" s="134">
        <f t="shared" si="131"/>
        <v>20.48</v>
      </c>
      <c r="M145" s="134">
        <f t="shared" si="132"/>
        <v>215.04</v>
      </c>
      <c r="N145" s="134">
        <f>253.33/50+2</f>
        <v>7.0666000000000002</v>
      </c>
      <c r="O145" s="134">
        <f t="shared" si="133"/>
        <v>74.199299999999994</v>
      </c>
      <c r="P145" s="134">
        <f t="shared" si="134"/>
        <v>27.546600000000002</v>
      </c>
      <c r="Q145" s="164">
        <f t="shared" si="135"/>
        <v>289.23930000000001</v>
      </c>
      <c r="R145" s="167"/>
      <c r="S145" s="167"/>
      <c r="T145" s="167"/>
      <c r="U145" s="167"/>
      <c r="V145" s="167"/>
      <c r="W145" s="167"/>
      <c r="X145" s="167"/>
      <c r="Y145" s="167"/>
      <c r="Z145" s="167"/>
      <c r="AA145" s="167"/>
      <c r="AB145" s="167"/>
      <c r="AC145" s="167"/>
      <c r="AD145" s="167"/>
      <c r="AE145" s="167"/>
      <c r="AF145" s="167"/>
      <c r="AG145" s="167"/>
      <c r="AH145" s="167"/>
      <c r="AI145" s="167"/>
      <c r="AJ145" s="167"/>
    </row>
    <row r="146" spans="1:36" s="30" customFormat="1">
      <c r="A146" s="83">
        <f>IF(F146&lt;&gt;"",1+MAX($A$2:A145),"")</f>
        <v>108</v>
      </c>
      <c r="B146" s="84"/>
      <c r="C146" s="85"/>
      <c r="D146" s="58" t="s">
        <v>165</v>
      </c>
      <c r="E146" s="61">
        <v>338.35</v>
      </c>
      <c r="F146" s="60">
        <v>0.05</v>
      </c>
      <c r="G146" s="55">
        <f t="shared" si="129"/>
        <v>355.26749999999998</v>
      </c>
      <c r="H146" s="59" t="s">
        <v>54</v>
      </c>
      <c r="I146" s="131">
        <v>0.08</v>
      </c>
      <c r="J146" s="132">
        <f t="shared" si="130"/>
        <v>28.421399999999998</v>
      </c>
      <c r="K146" s="133">
        <f>'LABOR SHEET'!C$3</f>
        <v>128</v>
      </c>
      <c r="L146" s="134">
        <f t="shared" si="131"/>
        <v>10.24</v>
      </c>
      <c r="M146" s="134">
        <f t="shared" si="132"/>
        <v>3637.9391999999998</v>
      </c>
      <c r="N146" s="134">
        <f>18.98/10+0.3</f>
        <v>2.198</v>
      </c>
      <c r="O146" s="134">
        <f t="shared" si="133"/>
        <v>780.87796500000002</v>
      </c>
      <c r="P146" s="134">
        <f t="shared" si="134"/>
        <v>12.438000000000001</v>
      </c>
      <c r="Q146" s="164">
        <f t="shared" si="135"/>
        <v>4418.8171650000004</v>
      </c>
      <c r="R146" s="167"/>
      <c r="S146" s="167"/>
      <c r="T146" s="167"/>
      <c r="U146" s="167"/>
      <c r="V146" s="167"/>
      <c r="W146" s="167"/>
      <c r="X146" s="167"/>
      <c r="Y146" s="167"/>
      <c r="Z146" s="167"/>
      <c r="AA146" s="167"/>
      <c r="AB146" s="167"/>
      <c r="AC146" s="167"/>
      <c r="AD146" s="167"/>
      <c r="AE146" s="167"/>
      <c r="AF146" s="167"/>
      <c r="AG146" s="167"/>
      <c r="AH146" s="167"/>
      <c r="AI146" s="167"/>
      <c r="AJ146" s="167"/>
    </row>
    <row r="147" spans="1:36" s="30" customFormat="1">
      <c r="A147" s="83">
        <f>IF(F147&lt;&gt;"",1+MAX($A$2:A146),"")</f>
        <v>109</v>
      </c>
      <c r="B147" s="84"/>
      <c r="C147" s="85"/>
      <c r="D147" s="58" t="s">
        <v>166</v>
      </c>
      <c r="E147" s="61">
        <v>10.55</v>
      </c>
      <c r="F147" s="60">
        <v>0.05</v>
      </c>
      <c r="G147" s="55">
        <f t="shared" si="129"/>
        <v>11.077500000000001</v>
      </c>
      <c r="H147" s="59" t="s">
        <v>54</v>
      </c>
      <c r="I147" s="131">
        <v>6.4000000000000001E-2</v>
      </c>
      <c r="J147" s="132">
        <f t="shared" si="130"/>
        <v>0.70896000000000003</v>
      </c>
      <c r="K147" s="133">
        <f>'LABOR SHEET'!C$3</f>
        <v>128</v>
      </c>
      <c r="L147" s="134">
        <f t="shared" si="131"/>
        <v>8.1920000000000002</v>
      </c>
      <c r="M147" s="134">
        <f t="shared" si="132"/>
        <v>90.746880000000004</v>
      </c>
      <c r="N147" s="134">
        <f>17.58/10+0.4</f>
        <v>2.1579999999999999</v>
      </c>
      <c r="O147" s="134">
        <f t="shared" si="133"/>
        <v>23.905245000000001</v>
      </c>
      <c r="P147" s="134">
        <f t="shared" si="134"/>
        <v>10.35</v>
      </c>
      <c r="Q147" s="164">
        <f t="shared" si="135"/>
        <v>114.652125</v>
      </c>
      <c r="R147" s="167"/>
      <c r="S147" s="167"/>
      <c r="T147" s="167"/>
      <c r="U147" s="167"/>
      <c r="V147" s="167"/>
      <c r="W147" s="167"/>
      <c r="X147" s="167"/>
      <c r="Y147" s="167"/>
      <c r="Z147" s="167"/>
      <c r="AA147" s="167"/>
      <c r="AB147" s="167"/>
      <c r="AC147" s="167"/>
      <c r="AD147" s="167"/>
      <c r="AE147" s="167"/>
      <c r="AF147" s="167"/>
      <c r="AG147" s="167"/>
      <c r="AH147" s="167"/>
      <c r="AI147" s="167"/>
      <c r="AJ147" s="167"/>
    </row>
    <row r="148" spans="1:36" s="30" customFormat="1">
      <c r="A148" s="83">
        <f>IF(F148&lt;&gt;"",1+MAX($A$2:A147),"")</f>
        <v>110</v>
      </c>
      <c r="B148" s="84"/>
      <c r="C148" s="85"/>
      <c r="D148" s="58" t="s">
        <v>167</v>
      </c>
      <c r="E148" s="61">
        <v>11.11</v>
      </c>
      <c r="F148" s="60">
        <v>0.05</v>
      </c>
      <c r="G148" s="55">
        <f t="shared" si="129"/>
        <v>11.6655</v>
      </c>
      <c r="H148" s="59" t="s">
        <v>54</v>
      </c>
      <c r="I148" s="131">
        <v>0.13300000000000001</v>
      </c>
      <c r="J148" s="132">
        <f t="shared" si="130"/>
        <v>1.5515114999999999</v>
      </c>
      <c r="K148" s="133">
        <f>'LABOR SHEET'!C$3</f>
        <v>128</v>
      </c>
      <c r="L148" s="134">
        <f t="shared" si="131"/>
        <v>17.024000000000001</v>
      </c>
      <c r="M148" s="134">
        <f t="shared" si="132"/>
        <v>198.59347199999999</v>
      </c>
      <c r="N148" s="134">
        <f>429.47/100+0.7</f>
        <v>4.9946999999999999</v>
      </c>
      <c r="O148" s="134">
        <f t="shared" si="133"/>
        <v>58.265672850000001</v>
      </c>
      <c r="P148" s="134">
        <f t="shared" si="134"/>
        <v>22.018699999999999</v>
      </c>
      <c r="Q148" s="164">
        <f t="shared" si="135"/>
        <v>256.85914485000001</v>
      </c>
      <c r="R148" s="167"/>
      <c r="S148" s="167"/>
      <c r="T148" s="167"/>
      <c r="U148" s="167"/>
      <c r="V148" s="167"/>
      <c r="W148" s="167"/>
      <c r="X148" s="167"/>
      <c r="Y148" s="167"/>
      <c r="Z148" s="167"/>
      <c r="AA148" s="167"/>
      <c r="AB148" s="167"/>
      <c r="AC148" s="167"/>
      <c r="AD148" s="167"/>
      <c r="AE148" s="167"/>
      <c r="AF148" s="167"/>
      <c r="AG148" s="167"/>
      <c r="AH148" s="167"/>
      <c r="AI148" s="167"/>
      <c r="AJ148" s="167"/>
    </row>
    <row r="149" spans="1:36" s="30" customFormat="1">
      <c r="A149" s="83">
        <f>IF(F149&lt;&gt;"",1+MAX($A$2:A148),"")</f>
        <v>111</v>
      </c>
      <c r="B149" s="84"/>
      <c r="C149" s="85"/>
      <c r="D149" s="58" t="s">
        <v>156</v>
      </c>
      <c r="E149" s="61">
        <v>2209.52</v>
      </c>
      <c r="F149" s="60">
        <v>0.05</v>
      </c>
      <c r="G149" s="55">
        <f t="shared" si="129"/>
        <v>2319.9960000000001</v>
      </c>
      <c r="H149" s="59" t="s">
        <v>54</v>
      </c>
      <c r="I149" s="131">
        <v>0.05</v>
      </c>
      <c r="J149" s="132">
        <f t="shared" si="130"/>
        <v>115.99979999999999</v>
      </c>
      <c r="K149" s="133">
        <f>'LABOR SHEET'!C$3</f>
        <v>128</v>
      </c>
      <c r="L149" s="134">
        <f t="shared" si="131"/>
        <v>6.4</v>
      </c>
      <c r="M149" s="134">
        <f t="shared" si="132"/>
        <v>14847.974399999999</v>
      </c>
      <c r="N149" s="134">
        <f>11.46/10+0.25</f>
        <v>1.3959999999999999</v>
      </c>
      <c r="O149" s="134">
        <f t="shared" si="133"/>
        <v>3238.7144159999998</v>
      </c>
      <c r="P149" s="134">
        <f t="shared" si="134"/>
        <v>7.7960000000000003</v>
      </c>
      <c r="Q149" s="164">
        <f t="shared" si="135"/>
        <v>18086.688816000002</v>
      </c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</row>
    <row r="150" spans="1:36" s="30" customFormat="1">
      <c r="A150" s="83">
        <f>IF(F150&lt;&gt;"",1+MAX($A$2:A149),"")</f>
        <v>112</v>
      </c>
      <c r="B150" s="84"/>
      <c r="C150" s="85"/>
      <c r="D150" s="58" t="s">
        <v>157</v>
      </c>
      <c r="E150" s="61">
        <v>16419.41</v>
      </c>
      <c r="F150" s="60">
        <v>0.05</v>
      </c>
      <c r="G150" s="55">
        <f t="shared" si="129"/>
        <v>17240.380499999999</v>
      </c>
      <c r="H150" s="59" t="s">
        <v>54</v>
      </c>
      <c r="I150" s="131">
        <v>3.5000000000000003E-2</v>
      </c>
      <c r="J150" s="132">
        <f t="shared" si="130"/>
        <v>603.41331749999995</v>
      </c>
      <c r="K150" s="133">
        <f>'LABOR SHEET'!C$3</f>
        <v>128</v>
      </c>
      <c r="L150" s="134">
        <f t="shared" si="131"/>
        <v>4.4800000000000004</v>
      </c>
      <c r="M150" s="134">
        <f t="shared" si="132"/>
        <v>77236.904639999993</v>
      </c>
      <c r="N150" s="134">
        <f>9.68/10+0.35</f>
        <v>1.3180000000000001</v>
      </c>
      <c r="O150" s="134">
        <f t="shared" si="133"/>
        <v>22722.821499000001</v>
      </c>
      <c r="P150" s="134">
        <f t="shared" si="134"/>
        <v>5.798</v>
      </c>
      <c r="Q150" s="164">
        <f t="shared" si="135"/>
        <v>99959.726139000006</v>
      </c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</row>
    <row r="151" spans="1:36" s="30" customFormat="1">
      <c r="A151" s="83">
        <f>IF(F151&lt;&gt;"",1+MAX($A$2:A150),"")</f>
        <v>113</v>
      </c>
      <c r="B151" s="84"/>
      <c r="C151" s="85"/>
      <c r="D151" s="58" t="s">
        <v>168</v>
      </c>
      <c r="E151" s="61">
        <v>292.57</v>
      </c>
      <c r="F151" s="60">
        <v>0.05</v>
      </c>
      <c r="G151" s="55">
        <f t="shared" si="129"/>
        <v>307.19850000000002</v>
      </c>
      <c r="H151" s="59" t="s">
        <v>54</v>
      </c>
      <c r="I151" s="131">
        <v>0.1</v>
      </c>
      <c r="J151" s="132">
        <f t="shared" si="130"/>
        <v>30.719850000000001</v>
      </c>
      <c r="K151" s="133">
        <f>'LABOR SHEET'!C$3</f>
        <v>128</v>
      </c>
      <c r="L151" s="134">
        <f t="shared" si="131"/>
        <v>12.8</v>
      </c>
      <c r="M151" s="134">
        <f t="shared" si="132"/>
        <v>3932.1408000000001</v>
      </c>
      <c r="N151" s="134">
        <v>2.2599999999999998</v>
      </c>
      <c r="O151" s="134">
        <f t="shared" si="133"/>
        <v>694.26860999999997</v>
      </c>
      <c r="P151" s="134">
        <f t="shared" si="134"/>
        <v>15.06</v>
      </c>
      <c r="Q151" s="164">
        <f t="shared" si="135"/>
        <v>4626.4094100000002</v>
      </c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</row>
    <row r="152" spans="1:36" s="30" customFormat="1">
      <c r="A152" s="83">
        <f>IF(F152&lt;&gt;"",1+MAX($A$2:A151),"")</f>
        <v>114</v>
      </c>
      <c r="B152" s="84"/>
      <c r="C152" s="85"/>
      <c r="D152" s="58" t="s">
        <v>169</v>
      </c>
      <c r="E152" s="61">
        <v>86.42</v>
      </c>
      <c r="F152" s="60">
        <v>0.05</v>
      </c>
      <c r="G152" s="55">
        <f t="shared" si="129"/>
        <v>90.741</v>
      </c>
      <c r="H152" s="59" t="s">
        <v>54</v>
      </c>
      <c r="I152" s="131">
        <v>6.7000000000000004E-2</v>
      </c>
      <c r="J152" s="132">
        <f t="shared" si="130"/>
        <v>6.0796469999999996</v>
      </c>
      <c r="K152" s="133">
        <f>'LABOR SHEET'!C$3</f>
        <v>128</v>
      </c>
      <c r="L152" s="134">
        <f t="shared" si="131"/>
        <v>8.5760000000000005</v>
      </c>
      <c r="M152" s="134">
        <f t="shared" si="132"/>
        <v>778.19481599999995</v>
      </c>
      <c r="N152" s="134">
        <f>29.67/10+0.35</f>
        <v>3.3170000000000002</v>
      </c>
      <c r="O152" s="134">
        <f t="shared" si="133"/>
        <v>300.98789699999998</v>
      </c>
      <c r="P152" s="134">
        <f t="shared" si="134"/>
        <v>11.893000000000001</v>
      </c>
      <c r="Q152" s="164">
        <f t="shared" si="135"/>
        <v>1079.1827129999999</v>
      </c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</row>
    <row r="153" spans="1:36" s="30" customFormat="1">
      <c r="A153" s="83">
        <f>IF(F153&lt;&gt;"",1+MAX($A$2:A152),"")</f>
        <v>115</v>
      </c>
      <c r="B153" s="84"/>
      <c r="C153" s="85"/>
      <c r="D153" s="58" t="s">
        <v>170</v>
      </c>
      <c r="E153" s="61">
        <v>66.37</v>
      </c>
      <c r="F153" s="60">
        <v>0.05</v>
      </c>
      <c r="G153" s="55">
        <f t="shared" si="129"/>
        <v>69.688500000000005</v>
      </c>
      <c r="H153" s="59" t="s">
        <v>54</v>
      </c>
      <c r="I153" s="131">
        <v>0.1</v>
      </c>
      <c r="J153" s="132">
        <f t="shared" si="130"/>
        <v>6.9688499999999998</v>
      </c>
      <c r="K153" s="133">
        <f>'LABOR SHEET'!C$3</f>
        <v>128</v>
      </c>
      <c r="L153" s="134">
        <f t="shared" si="131"/>
        <v>12.8</v>
      </c>
      <c r="M153" s="134">
        <f t="shared" si="132"/>
        <v>892.01279999999997</v>
      </c>
      <c r="N153" s="134">
        <f>244.56/100+0.3</f>
        <v>2.7456</v>
      </c>
      <c r="O153" s="134">
        <f t="shared" si="133"/>
        <v>191.3367456</v>
      </c>
      <c r="P153" s="134">
        <f t="shared" si="134"/>
        <v>15.5456</v>
      </c>
      <c r="Q153" s="164">
        <f t="shared" si="135"/>
        <v>1083.3495456000001</v>
      </c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</row>
    <row r="154" spans="1:36" s="30" customFormat="1">
      <c r="A154" s="83">
        <f>IF(F154&lt;&gt;"",1+MAX($A$2:A153),"")</f>
        <v>116</v>
      </c>
      <c r="B154" s="84"/>
      <c r="C154" s="85"/>
      <c r="D154" s="58" t="s">
        <v>171</v>
      </c>
      <c r="E154" s="61">
        <v>252.56</v>
      </c>
      <c r="F154" s="60">
        <v>0.05</v>
      </c>
      <c r="G154" s="55">
        <f t="shared" si="129"/>
        <v>265.18799999999999</v>
      </c>
      <c r="H154" s="59" t="s">
        <v>54</v>
      </c>
      <c r="I154" s="131">
        <v>0.03</v>
      </c>
      <c r="J154" s="132">
        <f t="shared" si="130"/>
        <v>7.9556399999999998</v>
      </c>
      <c r="K154" s="133">
        <f>'LABOR SHEET'!C$3</f>
        <v>128</v>
      </c>
      <c r="L154" s="134">
        <f t="shared" si="131"/>
        <v>3.84</v>
      </c>
      <c r="M154" s="134">
        <f t="shared" si="132"/>
        <v>1018.32192</v>
      </c>
      <c r="N154" s="134">
        <f>5.98/10+0.35</f>
        <v>0.94799999999999995</v>
      </c>
      <c r="O154" s="134">
        <f t="shared" si="133"/>
        <v>251.398224</v>
      </c>
      <c r="P154" s="134">
        <f t="shared" si="134"/>
        <v>4.7880000000000003</v>
      </c>
      <c r="Q154" s="164">
        <f t="shared" si="135"/>
        <v>1269.7201439999999</v>
      </c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</row>
    <row r="155" spans="1:36" s="30" customFormat="1">
      <c r="A155" s="83" t="str">
        <f>IF(F155&lt;&gt;"",1+MAX($A$2:A154),"")</f>
        <v/>
      </c>
      <c r="B155" s="84"/>
      <c r="C155" s="85"/>
      <c r="D155" s="58"/>
      <c r="E155" s="61"/>
      <c r="F155" s="86"/>
      <c r="G155" s="87"/>
      <c r="H155" s="59"/>
      <c r="I155" s="131"/>
      <c r="J155" s="132"/>
      <c r="K155" s="133"/>
      <c r="L155" s="134"/>
      <c r="M155" s="134"/>
      <c r="N155" s="134"/>
      <c r="O155" s="134"/>
      <c r="P155" s="134"/>
      <c r="Q155" s="165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</row>
    <row r="156" spans="1:36" s="30" customFormat="1">
      <c r="A156" s="83" t="str">
        <f>IF(F156&lt;&gt;"",1+MAX($A$2:A155),"")</f>
        <v/>
      </c>
      <c r="B156" s="84"/>
      <c r="C156" s="85"/>
      <c r="D156" s="88" t="s">
        <v>60</v>
      </c>
      <c r="E156" s="61"/>
      <c r="F156" s="86"/>
      <c r="G156" s="87"/>
      <c r="H156" s="59"/>
      <c r="I156" s="131"/>
      <c r="J156" s="132"/>
      <c r="K156" s="133"/>
      <c r="L156" s="134"/>
      <c r="M156" s="134"/>
      <c r="N156" s="134"/>
      <c r="O156" s="134"/>
      <c r="P156" s="134"/>
      <c r="Q156" s="165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</row>
    <row r="157" spans="1:36" s="30" customFormat="1">
      <c r="A157" s="83">
        <f>IF(F157&lt;&gt;"",1+MAX($A$2:A156),"")</f>
        <v>117</v>
      </c>
      <c r="B157" s="84"/>
      <c r="C157" s="85"/>
      <c r="D157" s="58" t="s">
        <v>65</v>
      </c>
      <c r="E157" s="61">
        <v>1913.32</v>
      </c>
      <c r="F157" s="60">
        <v>0.05</v>
      </c>
      <c r="G157" s="55">
        <f t="shared" ref="G157:G162" si="136">(F157*E157)+E157</f>
        <v>2008.9860000000001</v>
      </c>
      <c r="H157" s="59" t="s">
        <v>54</v>
      </c>
      <c r="I157" s="131">
        <v>2.5000000000000001E-2</v>
      </c>
      <c r="J157" s="132">
        <f t="shared" ref="J157" si="137">+I157*G157</f>
        <v>50.224649999999997</v>
      </c>
      <c r="K157" s="133">
        <f>'LABOR SHEET'!C$3</f>
        <v>128</v>
      </c>
      <c r="L157" s="134">
        <f t="shared" ref="L157" si="138">I157*K157</f>
        <v>3.2</v>
      </c>
      <c r="M157" s="134">
        <f t="shared" ref="M157" si="139">K157*J157</f>
        <v>6428.7551999999996</v>
      </c>
      <c r="N157" s="134">
        <v>2.97</v>
      </c>
      <c r="O157" s="134">
        <f t="shared" ref="O157" si="140">N157*G157</f>
        <v>5966.6884200000004</v>
      </c>
      <c r="P157" s="134">
        <f t="shared" ref="P157" si="141">(I157*K157)+N157</f>
        <v>6.17</v>
      </c>
      <c r="Q157" s="164">
        <f t="shared" ref="Q157" si="142">P157*G157</f>
        <v>12395.44362</v>
      </c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</row>
    <row r="158" spans="1:36" s="30" customFormat="1">
      <c r="A158" s="83">
        <f>IF(F158&lt;&gt;"",1+MAX($A$2:A157),"")</f>
        <v>118</v>
      </c>
      <c r="B158" s="84"/>
      <c r="C158" s="85"/>
      <c r="D158" s="58" t="s">
        <v>172</v>
      </c>
      <c r="E158" s="61">
        <v>484.47</v>
      </c>
      <c r="F158" s="60">
        <v>0.05</v>
      </c>
      <c r="G158" s="55">
        <f t="shared" si="136"/>
        <v>508.69349999999997</v>
      </c>
      <c r="H158" s="59" t="s">
        <v>54</v>
      </c>
      <c r="I158" s="131">
        <v>0.02</v>
      </c>
      <c r="J158" s="132">
        <f t="shared" ref="J158:J162" si="143">+I158*G158</f>
        <v>10.173870000000001</v>
      </c>
      <c r="K158" s="133">
        <f>'LABOR SHEET'!C$3</f>
        <v>128</v>
      </c>
      <c r="L158" s="134">
        <f t="shared" ref="L158:L162" si="144">I158*K158</f>
        <v>2.56</v>
      </c>
      <c r="M158" s="134">
        <f t="shared" ref="M158:M162" si="145">K158*J158</f>
        <v>1302.2553600000001</v>
      </c>
      <c r="N158" s="134">
        <v>2.33</v>
      </c>
      <c r="O158" s="134">
        <f t="shared" ref="O158:O162" si="146">N158*G158</f>
        <v>1185.2558550000001</v>
      </c>
      <c r="P158" s="134">
        <f t="shared" ref="P158:P162" si="147">(I158*K158)+N158</f>
        <v>4.8899999999999997</v>
      </c>
      <c r="Q158" s="164">
        <f t="shared" ref="Q158:Q162" si="148">P158*G158</f>
        <v>2487.511215</v>
      </c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</row>
    <row r="159" spans="1:36" s="30" customFormat="1">
      <c r="A159" s="83">
        <f>IF(F159&lt;&gt;"",1+MAX($A$2:A158),"")</f>
        <v>119</v>
      </c>
      <c r="B159" s="84"/>
      <c r="C159" s="85"/>
      <c r="D159" s="58" t="s">
        <v>173</v>
      </c>
      <c r="E159" s="61">
        <v>2854.1</v>
      </c>
      <c r="F159" s="60">
        <v>0.05</v>
      </c>
      <c r="G159" s="55">
        <f t="shared" si="136"/>
        <v>2996.8049999999998</v>
      </c>
      <c r="H159" s="59" t="s">
        <v>54</v>
      </c>
      <c r="I159" s="131">
        <v>1.4999999999999999E-2</v>
      </c>
      <c r="J159" s="132">
        <f t="shared" si="143"/>
        <v>44.952075000000001</v>
      </c>
      <c r="K159" s="133">
        <f>'LABOR SHEET'!C$3</f>
        <v>128</v>
      </c>
      <c r="L159" s="134">
        <f t="shared" si="144"/>
        <v>1.92</v>
      </c>
      <c r="M159" s="134">
        <f t="shared" si="145"/>
        <v>5753.8656000000001</v>
      </c>
      <c r="N159" s="134">
        <v>1.24</v>
      </c>
      <c r="O159" s="134">
        <f t="shared" si="146"/>
        <v>3716.0382</v>
      </c>
      <c r="P159" s="134">
        <f t="shared" si="147"/>
        <v>3.16</v>
      </c>
      <c r="Q159" s="164">
        <f t="shared" si="148"/>
        <v>9469.9038</v>
      </c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  <c r="AI159" s="167"/>
      <c r="AJ159" s="167"/>
    </row>
    <row r="160" spans="1:36" s="30" customFormat="1">
      <c r="A160" s="83">
        <f>IF(F160&lt;&gt;"",1+MAX($A$2:A159),"")</f>
        <v>120</v>
      </c>
      <c r="B160" s="84"/>
      <c r="C160" s="85"/>
      <c r="D160" s="58" t="s">
        <v>66</v>
      </c>
      <c r="E160" s="61">
        <v>7214.28</v>
      </c>
      <c r="F160" s="60">
        <v>0.05</v>
      </c>
      <c r="G160" s="55">
        <f t="shared" si="136"/>
        <v>7574.9939999999997</v>
      </c>
      <c r="H160" s="59" t="s">
        <v>54</v>
      </c>
      <c r="I160" s="131">
        <v>1.2E-2</v>
      </c>
      <c r="J160" s="132">
        <f t="shared" si="143"/>
        <v>90.899928000000003</v>
      </c>
      <c r="K160" s="133">
        <f>'LABOR SHEET'!C$3</f>
        <v>128</v>
      </c>
      <c r="L160" s="134">
        <f t="shared" si="144"/>
        <v>1.536</v>
      </c>
      <c r="M160" s="134">
        <f t="shared" si="145"/>
        <v>11635.190784</v>
      </c>
      <c r="N160" s="134">
        <v>0.82</v>
      </c>
      <c r="O160" s="134">
        <f t="shared" si="146"/>
        <v>6211.4950799999997</v>
      </c>
      <c r="P160" s="134">
        <f t="shared" si="147"/>
        <v>2.3559999999999999</v>
      </c>
      <c r="Q160" s="164">
        <f t="shared" si="148"/>
        <v>17846.685863999999</v>
      </c>
      <c r="R160" s="167"/>
      <c r="S160" s="167"/>
      <c r="T160" s="167"/>
      <c r="U160" s="167"/>
      <c r="V160" s="167"/>
      <c r="W160" s="167"/>
      <c r="X160" s="167"/>
      <c r="Y160" s="167"/>
      <c r="Z160" s="167"/>
      <c r="AA160" s="167"/>
      <c r="AB160" s="167"/>
      <c r="AC160" s="167"/>
      <c r="AD160" s="167"/>
      <c r="AE160" s="167"/>
      <c r="AF160" s="167"/>
      <c r="AG160" s="167"/>
      <c r="AH160" s="167"/>
      <c r="AI160" s="167"/>
      <c r="AJ160" s="167"/>
    </row>
    <row r="161" spans="1:36" s="30" customFormat="1">
      <c r="A161" s="83">
        <f>IF(F161&lt;&gt;"",1+MAX($A$2:A160),"")</f>
        <v>121</v>
      </c>
      <c r="B161" s="84"/>
      <c r="C161" s="85"/>
      <c r="D161" s="58" t="s">
        <v>158</v>
      </c>
      <c r="E161" s="61">
        <v>25076.9</v>
      </c>
      <c r="F161" s="60">
        <v>0.05</v>
      </c>
      <c r="G161" s="55">
        <f t="shared" si="136"/>
        <v>26330.744999999999</v>
      </c>
      <c r="H161" s="59" t="s">
        <v>54</v>
      </c>
      <c r="I161" s="131">
        <v>0.01</v>
      </c>
      <c r="J161" s="132">
        <f t="shared" si="143"/>
        <v>263.30745000000002</v>
      </c>
      <c r="K161" s="133">
        <f>'LABOR SHEET'!C$3</f>
        <v>128</v>
      </c>
      <c r="L161" s="134">
        <f t="shared" si="144"/>
        <v>1.28</v>
      </c>
      <c r="M161" s="134">
        <f t="shared" si="145"/>
        <v>33703.353600000002</v>
      </c>
      <c r="N161" s="134">
        <v>0.38</v>
      </c>
      <c r="O161" s="134">
        <f t="shared" si="146"/>
        <v>10005.6831</v>
      </c>
      <c r="P161" s="134">
        <f t="shared" si="147"/>
        <v>1.66</v>
      </c>
      <c r="Q161" s="164">
        <f t="shared" si="148"/>
        <v>43709.036699999997</v>
      </c>
      <c r="R161" s="167"/>
      <c r="S161" s="167"/>
      <c r="T161" s="167"/>
      <c r="U161" s="167"/>
      <c r="V161" s="167"/>
      <c r="W161" s="167"/>
      <c r="X161" s="167"/>
      <c r="Y161" s="167"/>
      <c r="Z161" s="167"/>
      <c r="AA161" s="167"/>
      <c r="AB161" s="167"/>
      <c r="AC161" s="167"/>
      <c r="AD161" s="167"/>
      <c r="AE161" s="167"/>
      <c r="AF161" s="167"/>
      <c r="AG161" s="167"/>
      <c r="AH161" s="167"/>
      <c r="AI161" s="167"/>
      <c r="AJ161" s="167"/>
    </row>
    <row r="162" spans="1:36" s="30" customFormat="1">
      <c r="A162" s="83">
        <f>IF(F162&lt;&gt;"",1+MAX($A$2:A161),"")</f>
        <v>122</v>
      </c>
      <c r="B162" s="84"/>
      <c r="C162" s="85"/>
      <c r="D162" s="58" t="s">
        <v>159</v>
      </c>
      <c r="E162" s="61">
        <v>25276.32</v>
      </c>
      <c r="F162" s="60">
        <v>0.05</v>
      </c>
      <c r="G162" s="55">
        <f t="shared" si="136"/>
        <v>26540.135999999999</v>
      </c>
      <c r="H162" s="59" t="s">
        <v>54</v>
      </c>
      <c r="I162" s="131">
        <v>8.9999999999999993E-3</v>
      </c>
      <c r="J162" s="132">
        <f t="shared" si="143"/>
        <v>238.86122399999999</v>
      </c>
      <c r="K162" s="133">
        <f>'LABOR SHEET'!C$3</f>
        <v>128</v>
      </c>
      <c r="L162" s="134">
        <f t="shared" si="144"/>
        <v>1.1519999999999999</v>
      </c>
      <c r="M162" s="134">
        <f t="shared" si="145"/>
        <v>30574.236671999999</v>
      </c>
      <c r="N162" s="134">
        <v>0.28000000000000003</v>
      </c>
      <c r="O162" s="134">
        <f t="shared" si="146"/>
        <v>7431.2380800000001</v>
      </c>
      <c r="P162" s="134">
        <f t="shared" si="147"/>
        <v>1.4319999999999999</v>
      </c>
      <c r="Q162" s="164">
        <f t="shared" si="148"/>
        <v>38005.474752000002</v>
      </c>
      <c r="R162" s="167"/>
      <c r="S162" s="167"/>
      <c r="T162" s="167"/>
      <c r="U162" s="167"/>
      <c r="V162" s="167"/>
      <c r="W162" s="167"/>
      <c r="X162" s="167"/>
      <c r="Y162" s="167"/>
      <c r="Z162" s="167"/>
      <c r="AA162" s="167"/>
      <c r="AB162" s="167"/>
      <c r="AC162" s="167"/>
      <c r="AD162" s="167"/>
      <c r="AE162" s="167"/>
      <c r="AF162" s="167"/>
      <c r="AG162" s="167"/>
      <c r="AH162" s="167"/>
      <c r="AI162" s="167"/>
      <c r="AJ162" s="167"/>
    </row>
    <row r="163" spans="1:36" s="30" customFormat="1">
      <c r="A163" s="83" t="str">
        <f>IF(F163&lt;&gt;"",1+MAX($A$2:A162),"")</f>
        <v/>
      </c>
      <c r="B163" s="84"/>
      <c r="C163" s="85"/>
      <c r="D163" s="58"/>
      <c r="E163" s="61"/>
      <c r="F163" s="86"/>
      <c r="G163" s="87"/>
      <c r="H163" s="59"/>
      <c r="I163" s="131"/>
      <c r="J163" s="132"/>
      <c r="K163" s="133"/>
      <c r="L163" s="134"/>
      <c r="M163" s="134"/>
      <c r="N163" s="134"/>
      <c r="O163" s="134"/>
      <c r="P163" s="134"/>
      <c r="Q163" s="165"/>
      <c r="R163" s="167"/>
      <c r="S163" s="167"/>
      <c r="T163" s="167"/>
      <c r="U163" s="167"/>
      <c r="V163" s="167"/>
      <c r="W163" s="167"/>
      <c r="X163" s="167"/>
      <c r="Y163" s="167"/>
      <c r="Z163" s="167"/>
      <c r="AA163" s="167"/>
      <c r="AB163" s="167"/>
      <c r="AC163" s="167"/>
      <c r="AD163" s="167"/>
      <c r="AE163" s="167"/>
      <c r="AF163" s="167"/>
      <c r="AG163" s="167"/>
      <c r="AH163" s="167"/>
      <c r="AI163" s="167"/>
      <c r="AJ163" s="167"/>
    </row>
    <row r="164" spans="1:36" s="30" customFormat="1">
      <c r="A164" s="83" t="str">
        <f>IF(F164&lt;&gt;"",1+MAX($A$2:A163),"")</f>
        <v/>
      </c>
      <c r="B164" s="84"/>
      <c r="C164" s="85"/>
      <c r="D164" s="49" t="s">
        <v>174</v>
      </c>
      <c r="E164" s="61"/>
      <c r="F164" s="86"/>
      <c r="G164" s="87"/>
      <c r="H164" s="59"/>
      <c r="I164" s="131"/>
      <c r="J164" s="132"/>
      <c r="K164" s="133"/>
      <c r="L164" s="134"/>
      <c r="M164" s="134"/>
      <c r="N164" s="134"/>
      <c r="O164" s="134"/>
      <c r="P164" s="134"/>
      <c r="Q164" s="165"/>
      <c r="R164" s="167"/>
      <c r="S164" s="167"/>
      <c r="T164" s="167"/>
      <c r="U164" s="167"/>
      <c r="V164" s="167"/>
      <c r="W164" s="167"/>
      <c r="X164" s="167"/>
      <c r="Y164" s="167"/>
      <c r="Z164" s="167"/>
      <c r="AA164" s="167"/>
      <c r="AB164" s="167"/>
      <c r="AC164" s="167"/>
      <c r="AD164" s="167"/>
      <c r="AE164" s="167"/>
      <c r="AF164" s="167"/>
      <c r="AG164" s="167"/>
      <c r="AH164" s="167"/>
      <c r="AI164" s="167"/>
      <c r="AJ164" s="167"/>
    </row>
    <row r="165" spans="1:36" s="30" customFormat="1">
      <c r="A165" s="83">
        <f>IF(F165&lt;&gt;"",1+MAX($A$2:A164),"")</f>
        <v>123</v>
      </c>
      <c r="B165" s="84"/>
      <c r="C165" s="85"/>
      <c r="D165" s="58" t="s">
        <v>175</v>
      </c>
      <c r="E165" s="61">
        <v>5</v>
      </c>
      <c r="F165" s="60">
        <v>0</v>
      </c>
      <c r="G165" s="55">
        <f t="shared" ref="G165:G185" si="149">(F165*E165)+E165</f>
        <v>5</v>
      </c>
      <c r="H165" s="59" t="s">
        <v>71</v>
      </c>
      <c r="I165" s="131">
        <v>0.5</v>
      </c>
      <c r="J165" s="132">
        <f t="shared" ref="J165:J185" si="150">+I165*G165</f>
        <v>2.5</v>
      </c>
      <c r="K165" s="133">
        <f>'LABOR SHEET'!C$3</f>
        <v>128</v>
      </c>
      <c r="L165" s="134">
        <f t="shared" ref="L165:L185" si="151">I165*K165</f>
        <v>64</v>
      </c>
      <c r="M165" s="134">
        <f t="shared" ref="M165:M185" si="152">K165*J165</f>
        <v>320</v>
      </c>
      <c r="N165" s="134">
        <v>24.1</v>
      </c>
      <c r="O165" s="134">
        <f t="shared" ref="O165:O185" si="153">N165*G165</f>
        <v>120.5</v>
      </c>
      <c r="P165" s="134">
        <f t="shared" ref="P165:P185" si="154">(I165*K165)+N165</f>
        <v>88.1</v>
      </c>
      <c r="Q165" s="164">
        <f t="shared" ref="Q165:Q185" si="155">P165*G165</f>
        <v>440.5</v>
      </c>
      <c r="R165" s="167"/>
      <c r="S165" s="167"/>
      <c r="T165" s="167"/>
      <c r="U165" s="167"/>
      <c r="V165" s="167"/>
      <c r="W165" s="167"/>
      <c r="X165" s="167"/>
      <c r="Y165" s="167"/>
      <c r="Z165" s="167"/>
      <c r="AA165" s="167"/>
      <c r="AB165" s="167"/>
      <c r="AC165" s="167"/>
      <c r="AD165" s="167"/>
      <c r="AE165" s="167"/>
      <c r="AF165" s="167"/>
      <c r="AG165" s="167"/>
      <c r="AH165" s="167"/>
      <c r="AI165" s="167"/>
      <c r="AJ165" s="167"/>
    </row>
    <row r="166" spans="1:36" s="30" customFormat="1">
      <c r="A166" s="83">
        <f>IF(F166&lt;&gt;"",1+MAX($A$2:A165),"")</f>
        <v>124</v>
      </c>
      <c r="B166" s="84"/>
      <c r="C166" s="85"/>
      <c r="D166" s="58" t="s">
        <v>176</v>
      </c>
      <c r="E166" s="61">
        <v>23</v>
      </c>
      <c r="F166" s="60">
        <v>0</v>
      </c>
      <c r="G166" s="55">
        <f t="shared" si="149"/>
        <v>23</v>
      </c>
      <c r="H166" s="59" t="s">
        <v>71</v>
      </c>
      <c r="I166" s="131">
        <v>0.6</v>
      </c>
      <c r="J166" s="132">
        <f t="shared" si="150"/>
        <v>13.8</v>
      </c>
      <c r="K166" s="133">
        <f>'LABOR SHEET'!C$3</f>
        <v>128</v>
      </c>
      <c r="L166" s="134">
        <f t="shared" si="151"/>
        <v>76.8</v>
      </c>
      <c r="M166" s="134">
        <f t="shared" si="152"/>
        <v>1766.4</v>
      </c>
      <c r="N166" s="134">
        <v>36.6</v>
      </c>
      <c r="O166" s="134">
        <f t="shared" si="153"/>
        <v>841.8</v>
      </c>
      <c r="P166" s="134">
        <f t="shared" si="154"/>
        <v>113.4</v>
      </c>
      <c r="Q166" s="164">
        <f t="shared" si="155"/>
        <v>2608.1999999999998</v>
      </c>
      <c r="R166" s="167"/>
      <c r="S166" s="167"/>
      <c r="T166" s="167"/>
      <c r="U166" s="167"/>
      <c r="V166" s="167"/>
      <c r="W166" s="167"/>
      <c r="X166" s="167"/>
      <c r="Y166" s="167"/>
      <c r="Z166" s="167"/>
      <c r="AA166" s="167"/>
      <c r="AB166" s="167"/>
      <c r="AC166" s="167"/>
      <c r="AD166" s="167"/>
      <c r="AE166" s="167"/>
      <c r="AF166" s="167"/>
      <c r="AG166" s="167"/>
      <c r="AH166" s="167"/>
      <c r="AI166" s="167"/>
      <c r="AJ166" s="167"/>
    </row>
    <row r="167" spans="1:36" s="30" customFormat="1">
      <c r="A167" s="83">
        <f>IF(F167&lt;&gt;"",1+MAX($A$2:A166),"")</f>
        <v>125</v>
      </c>
      <c r="B167" s="84"/>
      <c r="C167" s="85"/>
      <c r="D167" s="58" t="s">
        <v>177</v>
      </c>
      <c r="E167" s="61">
        <v>2</v>
      </c>
      <c r="F167" s="60">
        <v>0</v>
      </c>
      <c r="G167" s="55">
        <f t="shared" si="149"/>
        <v>2</v>
      </c>
      <c r="H167" s="59" t="s">
        <v>71</v>
      </c>
      <c r="I167" s="131">
        <v>0.7</v>
      </c>
      <c r="J167" s="132">
        <f t="shared" si="150"/>
        <v>1.4</v>
      </c>
      <c r="K167" s="133">
        <f>'LABOR SHEET'!C$3</f>
        <v>128</v>
      </c>
      <c r="L167" s="134">
        <f t="shared" si="151"/>
        <v>89.6</v>
      </c>
      <c r="M167" s="134">
        <f t="shared" si="152"/>
        <v>179.2</v>
      </c>
      <c r="N167" s="134">
        <v>55</v>
      </c>
      <c r="O167" s="134">
        <f t="shared" si="153"/>
        <v>110</v>
      </c>
      <c r="P167" s="134">
        <f t="shared" si="154"/>
        <v>144.6</v>
      </c>
      <c r="Q167" s="164">
        <f t="shared" si="155"/>
        <v>289.2</v>
      </c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  <c r="AC167" s="167"/>
      <c r="AD167" s="167"/>
      <c r="AE167" s="167"/>
      <c r="AF167" s="167"/>
      <c r="AG167" s="167"/>
      <c r="AH167" s="167"/>
      <c r="AI167" s="167"/>
      <c r="AJ167" s="167"/>
    </row>
    <row r="168" spans="1:36" s="30" customFormat="1">
      <c r="A168" s="83">
        <f>IF(F168&lt;&gt;"",1+MAX($A$2:A167),"")</f>
        <v>126</v>
      </c>
      <c r="B168" s="84"/>
      <c r="C168" s="85"/>
      <c r="D168" s="58" t="s">
        <v>178</v>
      </c>
      <c r="E168" s="61">
        <v>4</v>
      </c>
      <c r="F168" s="60">
        <v>0</v>
      </c>
      <c r="G168" s="55">
        <f t="shared" si="149"/>
        <v>4</v>
      </c>
      <c r="H168" s="59" t="s">
        <v>71</v>
      </c>
      <c r="I168" s="131">
        <v>0.65</v>
      </c>
      <c r="J168" s="132">
        <f t="shared" si="150"/>
        <v>2.6</v>
      </c>
      <c r="K168" s="133">
        <f>'LABOR SHEET'!C$3</f>
        <v>128</v>
      </c>
      <c r="L168" s="134">
        <f t="shared" si="151"/>
        <v>83.2</v>
      </c>
      <c r="M168" s="134">
        <f t="shared" si="152"/>
        <v>332.8</v>
      </c>
      <c r="N168" s="134">
        <v>42</v>
      </c>
      <c r="O168" s="134">
        <f t="shared" si="153"/>
        <v>168</v>
      </c>
      <c r="P168" s="134">
        <f t="shared" si="154"/>
        <v>125.2</v>
      </c>
      <c r="Q168" s="164">
        <f t="shared" si="155"/>
        <v>500.8</v>
      </c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167"/>
    </row>
    <row r="169" spans="1:36" s="30" customFormat="1">
      <c r="A169" s="83">
        <f>IF(F169&lt;&gt;"",1+MAX($A$2:A168),"")</f>
        <v>127</v>
      </c>
      <c r="B169" s="84"/>
      <c r="C169" s="85"/>
      <c r="D169" s="58" t="s">
        <v>179</v>
      </c>
      <c r="E169" s="61">
        <v>4</v>
      </c>
      <c r="F169" s="60">
        <v>0</v>
      </c>
      <c r="G169" s="55">
        <f t="shared" si="149"/>
        <v>4</v>
      </c>
      <c r="H169" s="59" t="s">
        <v>71</v>
      </c>
      <c r="I169" s="131">
        <v>0.8</v>
      </c>
      <c r="J169" s="132">
        <f t="shared" si="150"/>
        <v>3.2</v>
      </c>
      <c r="K169" s="133">
        <f>'LABOR SHEET'!C$3</f>
        <v>128</v>
      </c>
      <c r="L169" s="134">
        <f t="shared" si="151"/>
        <v>102.4</v>
      </c>
      <c r="M169" s="134">
        <f t="shared" si="152"/>
        <v>409.6</v>
      </c>
      <c r="N169" s="134">
        <v>62</v>
      </c>
      <c r="O169" s="134">
        <f t="shared" si="153"/>
        <v>248</v>
      </c>
      <c r="P169" s="134">
        <f t="shared" si="154"/>
        <v>164.4</v>
      </c>
      <c r="Q169" s="164">
        <f t="shared" si="155"/>
        <v>657.6</v>
      </c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7"/>
    </row>
    <row r="170" spans="1:36" s="30" customFormat="1">
      <c r="A170" s="83">
        <f>IF(F170&lt;&gt;"",1+MAX($A$2:A169),"")</f>
        <v>128</v>
      </c>
      <c r="B170" s="84"/>
      <c r="C170" s="85"/>
      <c r="D170" s="58" t="s">
        <v>180</v>
      </c>
      <c r="E170" s="61">
        <v>12.53</v>
      </c>
      <c r="F170" s="60">
        <v>0.05</v>
      </c>
      <c r="G170" s="55">
        <f t="shared" si="149"/>
        <v>13.156499999999999</v>
      </c>
      <c r="H170" s="59" t="s">
        <v>54</v>
      </c>
      <c r="I170" s="131">
        <v>0.1</v>
      </c>
      <c r="J170" s="132">
        <f t="shared" si="150"/>
        <v>1.31565</v>
      </c>
      <c r="K170" s="133">
        <f>'LABOR SHEET'!C$3</f>
        <v>128</v>
      </c>
      <c r="L170" s="134">
        <f t="shared" si="151"/>
        <v>12.8</v>
      </c>
      <c r="M170" s="134">
        <f t="shared" si="152"/>
        <v>168.4032</v>
      </c>
      <c r="N170" s="134">
        <v>12.4</v>
      </c>
      <c r="O170" s="134">
        <f t="shared" si="153"/>
        <v>163.14060000000001</v>
      </c>
      <c r="P170" s="134">
        <f t="shared" si="154"/>
        <v>25.2</v>
      </c>
      <c r="Q170" s="164">
        <f t="shared" si="155"/>
        <v>331.54379999999998</v>
      </c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</row>
    <row r="171" spans="1:36" s="30" customFormat="1">
      <c r="A171" s="83">
        <f>IF(F171&lt;&gt;"",1+MAX($A$2:A170),"")</f>
        <v>129</v>
      </c>
      <c r="B171" s="84"/>
      <c r="C171" s="85"/>
      <c r="D171" s="58" t="s">
        <v>181</v>
      </c>
      <c r="E171" s="61">
        <v>112</v>
      </c>
      <c r="F171" s="60">
        <v>0</v>
      </c>
      <c r="G171" s="55">
        <f t="shared" si="149"/>
        <v>112</v>
      </c>
      <c r="H171" s="59" t="s">
        <v>71</v>
      </c>
      <c r="I171" s="131">
        <v>0.2</v>
      </c>
      <c r="J171" s="132">
        <f t="shared" si="150"/>
        <v>22.4</v>
      </c>
      <c r="K171" s="133">
        <f>'LABOR SHEET'!C$3</f>
        <v>128</v>
      </c>
      <c r="L171" s="134">
        <f t="shared" si="151"/>
        <v>25.6</v>
      </c>
      <c r="M171" s="134">
        <f t="shared" si="152"/>
        <v>2867.2</v>
      </c>
      <c r="N171" s="134">
        <v>24.1</v>
      </c>
      <c r="O171" s="134">
        <f t="shared" si="153"/>
        <v>2699.2</v>
      </c>
      <c r="P171" s="134">
        <f t="shared" si="154"/>
        <v>49.7</v>
      </c>
      <c r="Q171" s="164">
        <f t="shared" si="155"/>
        <v>5566.4</v>
      </c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7"/>
    </row>
    <row r="172" spans="1:36" s="30" customFormat="1">
      <c r="A172" s="83">
        <f>IF(F172&lt;&gt;"",1+MAX($A$2:A171),"")</f>
        <v>130</v>
      </c>
      <c r="B172" s="84"/>
      <c r="C172" s="85"/>
      <c r="D172" s="58" t="s">
        <v>182</v>
      </c>
      <c r="E172" s="61">
        <v>12</v>
      </c>
      <c r="F172" s="60">
        <v>0</v>
      </c>
      <c r="G172" s="55">
        <f t="shared" si="149"/>
        <v>12</v>
      </c>
      <c r="H172" s="59" t="s">
        <v>71</v>
      </c>
      <c r="I172" s="131">
        <v>0.25</v>
      </c>
      <c r="J172" s="132">
        <f t="shared" si="150"/>
        <v>3</v>
      </c>
      <c r="K172" s="133">
        <f>'LABOR SHEET'!C$3</f>
        <v>128</v>
      </c>
      <c r="L172" s="134">
        <f t="shared" si="151"/>
        <v>32</v>
      </c>
      <c r="M172" s="134">
        <f t="shared" si="152"/>
        <v>384</v>
      </c>
      <c r="N172" s="134">
        <v>28.5</v>
      </c>
      <c r="O172" s="134">
        <f t="shared" si="153"/>
        <v>342</v>
      </c>
      <c r="P172" s="134">
        <f t="shared" si="154"/>
        <v>60.5</v>
      </c>
      <c r="Q172" s="164">
        <f t="shared" si="155"/>
        <v>726</v>
      </c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</row>
    <row r="173" spans="1:36" s="30" customFormat="1">
      <c r="A173" s="83">
        <f>IF(F173&lt;&gt;"",1+MAX($A$2:A172),"")</f>
        <v>131</v>
      </c>
      <c r="B173" s="84"/>
      <c r="C173" s="85"/>
      <c r="D173" s="58" t="s">
        <v>183</v>
      </c>
      <c r="E173" s="61">
        <v>11</v>
      </c>
      <c r="F173" s="60">
        <v>0</v>
      </c>
      <c r="G173" s="55">
        <f t="shared" si="149"/>
        <v>11</v>
      </c>
      <c r="H173" s="59" t="s">
        <v>71</v>
      </c>
      <c r="I173" s="131">
        <v>0.28000000000000003</v>
      </c>
      <c r="J173" s="132">
        <f t="shared" si="150"/>
        <v>3.08</v>
      </c>
      <c r="K173" s="133">
        <f>'LABOR SHEET'!C$3</f>
        <v>128</v>
      </c>
      <c r="L173" s="134">
        <f t="shared" si="151"/>
        <v>35.840000000000003</v>
      </c>
      <c r="M173" s="134">
        <f t="shared" si="152"/>
        <v>394.24</v>
      </c>
      <c r="N173" s="134">
        <v>32</v>
      </c>
      <c r="O173" s="134">
        <f t="shared" si="153"/>
        <v>352</v>
      </c>
      <c r="P173" s="134">
        <f t="shared" si="154"/>
        <v>67.84</v>
      </c>
      <c r="Q173" s="164">
        <f t="shared" si="155"/>
        <v>746.24</v>
      </c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</row>
    <row r="174" spans="1:36" s="30" customFormat="1">
      <c r="A174" s="83">
        <f>IF(F174&lt;&gt;"",1+MAX($A$2:A173),"")</f>
        <v>132</v>
      </c>
      <c r="B174" s="84"/>
      <c r="C174" s="85"/>
      <c r="D174" s="58" t="s">
        <v>184</v>
      </c>
      <c r="E174" s="61">
        <v>9</v>
      </c>
      <c r="F174" s="60">
        <v>0</v>
      </c>
      <c r="G174" s="55">
        <f t="shared" si="149"/>
        <v>9</v>
      </c>
      <c r="H174" s="59" t="s">
        <v>71</v>
      </c>
      <c r="I174" s="131">
        <f>0.3+0.2+0.38</f>
        <v>0.88</v>
      </c>
      <c r="J174" s="132">
        <f t="shared" si="150"/>
        <v>7.92</v>
      </c>
      <c r="K174" s="133">
        <f>'LABOR SHEET'!C$3</f>
        <v>128</v>
      </c>
      <c r="L174" s="134">
        <f t="shared" si="151"/>
        <v>112.64</v>
      </c>
      <c r="M174" s="134">
        <f t="shared" si="152"/>
        <v>1013.76</v>
      </c>
      <c r="N174" s="134">
        <f>40+24.1+38</f>
        <v>102.1</v>
      </c>
      <c r="O174" s="134">
        <f t="shared" si="153"/>
        <v>918.9</v>
      </c>
      <c r="P174" s="134">
        <f t="shared" si="154"/>
        <v>214.74</v>
      </c>
      <c r="Q174" s="164">
        <f t="shared" si="155"/>
        <v>1932.66</v>
      </c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7"/>
    </row>
    <row r="175" spans="1:36" s="30" customFormat="1">
      <c r="A175" s="83">
        <f>IF(F175&lt;&gt;"",1+MAX($A$2:A174),"")</f>
        <v>133</v>
      </c>
      <c r="B175" s="84"/>
      <c r="C175" s="85"/>
      <c r="D175" s="58" t="s">
        <v>185</v>
      </c>
      <c r="E175" s="61">
        <v>21</v>
      </c>
      <c r="F175" s="60">
        <v>0</v>
      </c>
      <c r="G175" s="55">
        <f t="shared" si="149"/>
        <v>21</v>
      </c>
      <c r="H175" s="59" t="s">
        <v>71</v>
      </c>
      <c r="I175" s="131">
        <f>0.3+0.42+0.38</f>
        <v>1.1000000000000001</v>
      </c>
      <c r="J175" s="132">
        <f t="shared" si="150"/>
        <v>23.1</v>
      </c>
      <c r="K175" s="133">
        <f>'LABOR SHEET'!C$3</f>
        <v>128</v>
      </c>
      <c r="L175" s="134">
        <f t="shared" si="151"/>
        <v>140.80000000000001</v>
      </c>
      <c r="M175" s="134">
        <f t="shared" si="152"/>
        <v>2956.8</v>
      </c>
      <c r="N175" s="134">
        <f>40+42+38</f>
        <v>120</v>
      </c>
      <c r="O175" s="134">
        <f t="shared" si="153"/>
        <v>2520</v>
      </c>
      <c r="P175" s="134">
        <f t="shared" si="154"/>
        <v>260.8</v>
      </c>
      <c r="Q175" s="164">
        <f t="shared" si="155"/>
        <v>5476.8</v>
      </c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</row>
    <row r="176" spans="1:36" s="30" customFormat="1" ht="31.2">
      <c r="A176" s="83">
        <f>IF(F176&lt;&gt;"",1+MAX($A$2:A175),"")</f>
        <v>134</v>
      </c>
      <c r="B176" s="84"/>
      <c r="C176" s="85"/>
      <c r="D176" s="58" t="s">
        <v>186</v>
      </c>
      <c r="E176" s="61">
        <v>9</v>
      </c>
      <c r="F176" s="60">
        <v>0</v>
      </c>
      <c r="G176" s="55">
        <f t="shared" si="149"/>
        <v>9</v>
      </c>
      <c r="H176" s="59" t="s">
        <v>71</v>
      </c>
      <c r="I176" s="131">
        <f>0.3+0.42+0.2+0.38</f>
        <v>1.3</v>
      </c>
      <c r="J176" s="132">
        <f t="shared" si="150"/>
        <v>11.7</v>
      </c>
      <c r="K176" s="133">
        <f>'LABOR SHEET'!C$3</f>
        <v>128</v>
      </c>
      <c r="L176" s="134">
        <f t="shared" si="151"/>
        <v>166.4</v>
      </c>
      <c r="M176" s="134">
        <f t="shared" si="152"/>
        <v>1497.6</v>
      </c>
      <c r="N176" s="134">
        <f>30+42+24.1+38</f>
        <v>134.1</v>
      </c>
      <c r="O176" s="134">
        <f t="shared" si="153"/>
        <v>1206.9000000000001</v>
      </c>
      <c r="P176" s="134">
        <f t="shared" si="154"/>
        <v>300.5</v>
      </c>
      <c r="Q176" s="164">
        <f t="shared" si="155"/>
        <v>2704.5</v>
      </c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</row>
    <row r="177" spans="1:36" s="30" customFormat="1">
      <c r="A177" s="83">
        <f>IF(F177&lt;&gt;"",1+MAX($A$2:A176),"")</f>
        <v>135</v>
      </c>
      <c r="B177" s="84"/>
      <c r="C177" s="85"/>
      <c r="D177" s="58" t="s">
        <v>187</v>
      </c>
      <c r="E177" s="61">
        <v>1</v>
      </c>
      <c r="F177" s="60">
        <v>0</v>
      </c>
      <c r="G177" s="55">
        <f t="shared" si="149"/>
        <v>1</v>
      </c>
      <c r="H177" s="59" t="s">
        <v>71</v>
      </c>
      <c r="I177" s="131">
        <v>1</v>
      </c>
      <c r="J177" s="132">
        <f t="shared" si="150"/>
        <v>1</v>
      </c>
      <c r="K177" s="133">
        <f>'LABOR SHEET'!C$3</f>
        <v>128</v>
      </c>
      <c r="L177" s="134">
        <f t="shared" si="151"/>
        <v>128</v>
      </c>
      <c r="M177" s="134">
        <f t="shared" si="152"/>
        <v>128</v>
      </c>
      <c r="N177" s="134">
        <v>161.5</v>
      </c>
      <c r="O177" s="134">
        <f t="shared" si="153"/>
        <v>161.5</v>
      </c>
      <c r="P177" s="134">
        <f t="shared" si="154"/>
        <v>289.5</v>
      </c>
      <c r="Q177" s="164">
        <f t="shared" si="155"/>
        <v>289.5</v>
      </c>
      <c r="R177" s="167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7"/>
    </row>
    <row r="178" spans="1:36" s="30" customFormat="1" ht="31.2">
      <c r="A178" s="83">
        <f>IF(F178&lt;&gt;"",1+MAX($A$2:A177),"")</f>
        <v>136</v>
      </c>
      <c r="B178" s="84"/>
      <c r="C178" s="85"/>
      <c r="D178" s="58" t="s">
        <v>188</v>
      </c>
      <c r="E178" s="61">
        <v>3</v>
      </c>
      <c r="F178" s="60">
        <v>0</v>
      </c>
      <c r="G178" s="55">
        <f t="shared" si="149"/>
        <v>3</v>
      </c>
      <c r="H178" s="59" t="s">
        <v>71</v>
      </c>
      <c r="I178" s="131">
        <v>25</v>
      </c>
      <c r="J178" s="132">
        <f t="shared" si="150"/>
        <v>75</v>
      </c>
      <c r="K178" s="133">
        <f>'LABOR SHEET'!C$3</f>
        <v>128</v>
      </c>
      <c r="L178" s="134">
        <f t="shared" si="151"/>
        <v>3200</v>
      </c>
      <c r="M178" s="134">
        <f t="shared" si="152"/>
        <v>9600</v>
      </c>
      <c r="N178" s="134">
        <v>14950</v>
      </c>
      <c r="O178" s="134">
        <f t="shared" si="153"/>
        <v>44850</v>
      </c>
      <c r="P178" s="134">
        <f t="shared" si="154"/>
        <v>18150</v>
      </c>
      <c r="Q178" s="164">
        <f t="shared" si="155"/>
        <v>54450</v>
      </c>
      <c r="R178" s="167"/>
      <c r="S178" s="167"/>
      <c r="T178" s="167"/>
      <c r="U178" s="167"/>
      <c r="V178" s="167"/>
      <c r="W178" s="167"/>
      <c r="X178" s="167"/>
      <c r="Y178" s="167"/>
      <c r="Z178" s="167"/>
      <c r="AA178" s="167"/>
      <c r="AB178" s="167"/>
      <c r="AC178" s="167"/>
      <c r="AD178" s="167"/>
      <c r="AE178" s="167"/>
      <c r="AF178" s="167"/>
      <c r="AG178" s="167"/>
      <c r="AH178" s="167"/>
      <c r="AI178" s="167"/>
      <c r="AJ178" s="167"/>
    </row>
    <row r="179" spans="1:36" s="30" customFormat="1" ht="109.2">
      <c r="A179" s="83">
        <f>IF(F179&lt;&gt;"",1+MAX($A$2:A178),"")</f>
        <v>137</v>
      </c>
      <c r="B179" s="84"/>
      <c r="C179" s="85"/>
      <c r="D179" s="58" t="s">
        <v>189</v>
      </c>
      <c r="E179" s="61">
        <v>4</v>
      </c>
      <c r="F179" s="60">
        <v>0</v>
      </c>
      <c r="G179" s="55">
        <f t="shared" si="149"/>
        <v>4</v>
      </c>
      <c r="H179" s="59" t="s">
        <v>71</v>
      </c>
      <c r="I179" s="131">
        <f>(1.5*3)+(0.35)+(0.55)+(0.6)+(0.45)+(2.5)</f>
        <v>8.9499999999999993</v>
      </c>
      <c r="J179" s="132">
        <f t="shared" si="150"/>
        <v>35.799999999999997</v>
      </c>
      <c r="K179" s="133">
        <f>'LABOR SHEET'!C$3</f>
        <v>128</v>
      </c>
      <c r="L179" s="134">
        <f t="shared" si="151"/>
        <v>1145.5999999999999</v>
      </c>
      <c r="M179" s="134">
        <f t="shared" si="152"/>
        <v>4582.3999999999996</v>
      </c>
      <c r="N179" s="134">
        <f>(344.8*3)+(56.36)+(86)+(99)+(38)+(1107.77)</f>
        <v>2421.5300000000002</v>
      </c>
      <c r="O179" s="134">
        <f t="shared" si="153"/>
        <v>9686.1200000000008</v>
      </c>
      <c r="P179" s="134">
        <f t="shared" si="154"/>
        <v>3567.13</v>
      </c>
      <c r="Q179" s="164">
        <f t="shared" si="155"/>
        <v>14268.52</v>
      </c>
      <c r="R179" s="167"/>
      <c r="S179" s="167"/>
      <c r="T179" s="167"/>
      <c r="U179" s="167"/>
      <c r="V179" s="167"/>
      <c r="W179" s="167"/>
      <c r="X179" s="167"/>
      <c r="Y179" s="167"/>
      <c r="Z179" s="167"/>
      <c r="AA179" s="167"/>
      <c r="AB179" s="167"/>
      <c r="AC179" s="167"/>
      <c r="AD179" s="167"/>
      <c r="AE179" s="167"/>
      <c r="AF179" s="167"/>
      <c r="AG179" s="167"/>
      <c r="AH179" s="167"/>
      <c r="AI179" s="167"/>
      <c r="AJ179" s="167"/>
    </row>
    <row r="180" spans="1:36" s="30" customFormat="1">
      <c r="A180" s="83">
        <f>IF(F180&lt;&gt;"",1+MAX($A$2:A179),"")</f>
        <v>138</v>
      </c>
      <c r="B180" s="84"/>
      <c r="C180" s="85"/>
      <c r="D180" s="58" t="s">
        <v>190</v>
      </c>
      <c r="E180" s="61">
        <v>16</v>
      </c>
      <c r="F180" s="60">
        <v>0</v>
      </c>
      <c r="G180" s="55">
        <f t="shared" si="149"/>
        <v>16</v>
      </c>
      <c r="H180" s="59" t="s">
        <v>71</v>
      </c>
      <c r="I180" s="131">
        <v>0.4</v>
      </c>
      <c r="J180" s="132">
        <f t="shared" si="150"/>
        <v>6.4</v>
      </c>
      <c r="K180" s="133">
        <f>'LABOR SHEET'!C$3</f>
        <v>128</v>
      </c>
      <c r="L180" s="134">
        <f t="shared" si="151"/>
        <v>51.2</v>
      </c>
      <c r="M180" s="134">
        <f t="shared" si="152"/>
        <v>819.2</v>
      </c>
      <c r="N180" s="134">
        <v>48</v>
      </c>
      <c r="O180" s="134">
        <f t="shared" si="153"/>
        <v>768</v>
      </c>
      <c r="P180" s="134">
        <f t="shared" si="154"/>
        <v>99.2</v>
      </c>
      <c r="Q180" s="164">
        <f t="shared" si="155"/>
        <v>1587.2</v>
      </c>
      <c r="R180" s="167"/>
      <c r="S180" s="167"/>
      <c r="T180" s="167"/>
      <c r="U180" s="167"/>
      <c r="V180" s="167"/>
      <c r="W180" s="167"/>
      <c r="X180" s="167"/>
      <c r="Y180" s="167"/>
      <c r="Z180" s="167"/>
      <c r="AA180" s="167"/>
      <c r="AB180" s="167"/>
      <c r="AC180" s="167"/>
      <c r="AD180" s="167"/>
      <c r="AE180" s="167"/>
      <c r="AF180" s="167"/>
      <c r="AG180" s="167"/>
      <c r="AH180" s="167"/>
      <c r="AI180" s="167"/>
      <c r="AJ180" s="167"/>
    </row>
    <row r="181" spans="1:36" s="30" customFormat="1">
      <c r="A181" s="83">
        <f>IF(F181&lt;&gt;"",1+MAX($A$2:A180),"")</f>
        <v>139</v>
      </c>
      <c r="B181" s="84"/>
      <c r="C181" s="85"/>
      <c r="D181" s="58" t="s">
        <v>191</v>
      </c>
      <c r="E181" s="61">
        <v>2</v>
      </c>
      <c r="F181" s="60">
        <v>0</v>
      </c>
      <c r="G181" s="55">
        <f t="shared" si="149"/>
        <v>2</v>
      </c>
      <c r="H181" s="59" t="s">
        <v>71</v>
      </c>
      <c r="I181" s="131">
        <v>0.55000000000000004</v>
      </c>
      <c r="J181" s="132">
        <f t="shared" si="150"/>
        <v>1.1000000000000001</v>
      </c>
      <c r="K181" s="133">
        <f>'LABOR SHEET'!C$3</f>
        <v>128</v>
      </c>
      <c r="L181" s="134">
        <f t="shared" si="151"/>
        <v>70.400000000000006</v>
      </c>
      <c r="M181" s="134">
        <f t="shared" si="152"/>
        <v>140.80000000000001</v>
      </c>
      <c r="N181" s="134">
        <v>55</v>
      </c>
      <c r="O181" s="134">
        <f t="shared" si="153"/>
        <v>110</v>
      </c>
      <c r="P181" s="134">
        <f t="shared" si="154"/>
        <v>125.4</v>
      </c>
      <c r="Q181" s="164">
        <f t="shared" si="155"/>
        <v>250.8</v>
      </c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  <c r="AB181" s="167"/>
      <c r="AC181" s="167"/>
      <c r="AD181" s="167"/>
      <c r="AE181" s="167"/>
      <c r="AF181" s="167"/>
      <c r="AG181" s="167"/>
      <c r="AH181" s="167"/>
      <c r="AI181" s="167"/>
      <c r="AJ181" s="167"/>
    </row>
    <row r="182" spans="1:36" s="30" customFormat="1" ht="31.2">
      <c r="A182" s="83">
        <f>IF(F182&lt;&gt;"",1+MAX($A$2:A181),"")</f>
        <v>140</v>
      </c>
      <c r="B182" s="84"/>
      <c r="C182" s="85"/>
      <c r="D182" s="58" t="s">
        <v>192</v>
      </c>
      <c r="E182" s="61">
        <v>20</v>
      </c>
      <c r="F182" s="60">
        <v>0</v>
      </c>
      <c r="G182" s="55">
        <f t="shared" si="149"/>
        <v>20</v>
      </c>
      <c r="H182" s="59" t="s">
        <v>71</v>
      </c>
      <c r="I182" s="131">
        <v>0.35</v>
      </c>
      <c r="J182" s="132">
        <f t="shared" si="150"/>
        <v>7</v>
      </c>
      <c r="K182" s="133">
        <f>'LABOR SHEET'!C$3</f>
        <v>128</v>
      </c>
      <c r="L182" s="134">
        <f t="shared" si="151"/>
        <v>44.8</v>
      </c>
      <c r="M182" s="134">
        <f t="shared" si="152"/>
        <v>896</v>
      </c>
      <c r="N182" s="134">
        <v>37.799999999999997</v>
      </c>
      <c r="O182" s="134">
        <f t="shared" si="153"/>
        <v>756</v>
      </c>
      <c r="P182" s="134">
        <f t="shared" si="154"/>
        <v>82.6</v>
      </c>
      <c r="Q182" s="164">
        <f t="shared" si="155"/>
        <v>1652</v>
      </c>
      <c r="R182" s="167"/>
      <c r="S182" s="167"/>
      <c r="T182" s="167"/>
      <c r="U182" s="167"/>
      <c r="V182" s="167"/>
      <c r="W182" s="167"/>
      <c r="X182" s="167"/>
      <c r="Y182" s="167"/>
      <c r="Z182" s="167"/>
      <c r="AA182" s="167"/>
      <c r="AB182" s="167"/>
      <c r="AC182" s="167"/>
      <c r="AD182" s="167"/>
      <c r="AE182" s="167"/>
      <c r="AF182" s="167"/>
      <c r="AG182" s="167"/>
      <c r="AH182" s="167"/>
      <c r="AI182" s="167"/>
      <c r="AJ182" s="167"/>
    </row>
    <row r="183" spans="1:36" s="30" customFormat="1">
      <c r="A183" s="83">
        <f>IF(F183&lt;&gt;"",1+MAX($A$2:A182),"")</f>
        <v>141</v>
      </c>
      <c r="B183" s="84"/>
      <c r="C183" s="85"/>
      <c r="D183" s="58" t="s">
        <v>193</v>
      </c>
      <c r="E183" s="61">
        <v>2</v>
      </c>
      <c r="F183" s="60">
        <v>0</v>
      </c>
      <c r="G183" s="55">
        <f t="shared" si="149"/>
        <v>2</v>
      </c>
      <c r="H183" s="59" t="s">
        <v>71</v>
      </c>
      <c r="I183" s="131">
        <v>2</v>
      </c>
      <c r="J183" s="132">
        <f t="shared" ref="J183" si="156">+I183*G183</f>
        <v>4</v>
      </c>
      <c r="K183" s="133">
        <f>'LABOR SHEET'!C$3</f>
        <v>128</v>
      </c>
      <c r="L183" s="134">
        <f t="shared" ref="L183" si="157">I183*K183</f>
        <v>256</v>
      </c>
      <c r="M183" s="134">
        <f t="shared" ref="M183" si="158">K183*J183</f>
        <v>512</v>
      </c>
      <c r="N183" s="134">
        <v>206.78</v>
      </c>
      <c r="O183" s="134">
        <f t="shared" ref="O183" si="159">N183*G183</f>
        <v>413.56</v>
      </c>
      <c r="P183" s="134">
        <f t="shared" ref="P183" si="160">(I183*K183)+N183</f>
        <v>462.78</v>
      </c>
      <c r="Q183" s="164">
        <f t="shared" ref="Q183" si="161">P183*G183</f>
        <v>925.56</v>
      </c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  <c r="AB183" s="167"/>
      <c r="AC183" s="167"/>
      <c r="AD183" s="167"/>
      <c r="AE183" s="167"/>
      <c r="AF183" s="167"/>
      <c r="AG183" s="167"/>
      <c r="AH183" s="167"/>
      <c r="AI183" s="167"/>
      <c r="AJ183" s="167"/>
    </row>
    <row r="184" spans="1:36" s="30" customFormat="1">
      <c r="A184" s="83">
        <f>IF(F184&lt;&gt;"",1+MAX($A$2:A183),"")</f>
        <v>142</v>
      </c>
      <c r="B184" s="84"/>
      <c r="C184" s="85"/>
      <c r="D184" s="58" t="s">
        <v>194</v>
      </c>
      <c r="E184" s="61">
        <v>12</v>
      </c>
      <c r="F184" s="60">
        <v>0</v>
      </c>
      <c r="G184" s="55">
        <f t="shared" si="149"/>
        <v>12</v>
      </c>
      <c r="H184" s="59" t="s">
        <v>71</v>
      </c>
      <c r="I184" s="131">
        <v>0.6</v>
      </c>
      <c r="J184" s="132">
        <f t="shared" si="150"/>
        <v>7.2</v>
      </c>
      <c r="K184" s="133">
        <f>'LABOR SHEET'!C$3</f>
        <v>128</v>
      </c>
      <c r="L184" s="134">
        <f t="shared" si="151"/>
        <v>76.8</v>
      </c>
      <c r="M184" s="134">
        <f t="shared" si="152"/>
        <v>921.6</v>
      </c>
      <c r="N184" s="134">
        <v>66</v>
      </c>
      <c r="O184" s="134">
        <f t="shared" si="153"/>
        <v>792</v>
      </c>
      <c r="P184" s="134">
        <f t="shared" si="154"/>
        <v>142.80000000000001</v>
      </c>
      <c r="Q184" s="164">
        <f t="shared" si="155"/>
        <v>1713.6</v>
      </c>
      <c r="R184" s="167"/>
      <c r="S184" s="167"/>
      <c r="T184" s="167"/>
      <c r="U184" s="167"/>
      <c r="V184" s="167"/>
      <c r="W184" s="167"/>
      <c r="X184" s="167"/>
      <c r="Y184" s="167"/>
      <c r="Z184" s="167"/>
      <c r="AA184" s="167"/>
      <c r="AB184" s="167"/>
      <c r="AC184" s="167"/>
      <c r="AD184" s="167"/>
      <c r="AE184" s="167"/>
      <c r="AF184" s="167"/>
      <c r="AG184" s="167"/>
      <c r="AH184" s="167"/>
      <c r="AI184" s="167"/>
      <c r="AJ184" s="167"/>
    </row>
    <row r="185" spans="1:36" s="30" customFormat="1">
      <c r="A185" s="83">
        <f>IF(F185&lt;&gt;"",1+MAX($A$2:A184),"")</f>
        <v>143</v>
      </c>
      <c r="B185" s="84"/>
      <c r="C185" s="85"/>
      <c r="D185" s="58" t="s">
        <v>195</v>
      </c>
      <c r="E185" s="61">
        <v>1</v>
      </c>
      <c r="F185" s="60">
        <v>0</v>
      </c>
      <c r="G185" s="55">
        <f t="shared" si="149"/>
        <v>1</v>
      </c>
      <c r="H185" s="59" t="s">
        <v>71</v>
      </c>
      <c r="I185" s="131">
        <v>0.7</v>
      </c>
      <c r="J185" s="132">
        <f t="shared" si="150"/>
        <v>0.7</v>
      </c>
      <c r="K185" s="133">
        <f>'LABOR SHEET'!C$3</f>
        <v>128</v>
      </c>
      <c r="L185" s="134">
        <f t="shared" si="151"/>
        <v>89.6</v>
      </c>
      <c r="M185" s="134">
        <f t="shared" si="152"/>
        <v>89.6</v>
      </c>
      <c r="N185" s="134">
        <v>72.5</v>
      </c>
      <c r="O185" s="134">
        <f t="shared" si="153"/>
        <v>72.5</v>
      </c>
      <c r="P185" s="134">
        <f t="shared" si="154"/>
        <v>162.1</v>
      </c>
      <c r="Q185" s="164">
        <f t="shared" si="155"/>
        <v>162.1</v>
      </c>
      <c r="R185" s="167"/>
      <c r="S185" s="167"/>
      <c r="T185" s="167"/>
      <c r="U185" s="167"/>
      <c r="V185" s="167"/>
      <c r="W185" s="167"/>
      <c r="X185" s="167"/>
      <c r="Y185" s="167"/>
      <c r="Z185" s="167"/>
      <c r="AA185" s="167"/>
      <c r="AB185" s="167"/>
      <c r="AC185" s="167"/>
      <c r="AD185" s="167"/>
      <c r="AE185" s="167"/>
      <c r="AF185" s="167"/>
      <c r="AG185" s="167"/>
      <c r="AH185" s="167"/>
      <c r="AI185" s="167"/>
      <c r="AJ185" s="167"/>
    </row>
    <row r="186" spans="1:36" s="30" customFormat="1">
      <c r="A186" s="83" t="str">
        <f>IF(F186&lt;&gt;"",1+MAX($A$2:A185),"")</f>
        <v/>
      </c>
      <c r="B186" s="84"/>
      <c r="C186" s="85"/>
      <c r="D186" s="58"/>
      <c r="E186" s="61"/>
      <c r="F186" s="86"/>
      <c r="G186" s="87"/>
      <c r="H186" s="59"/>
      <c r="I186" s="131"/>
      <c r="J186" s="132"/>
      <c r="K186" s="133"/>
      <c r="L186" s="134"/>
      <c r="M186" s="134"/>
      <c r="N186" s="134"/>
      <c r="O186" s="134"/>
      <c r="P186" s="134"/>
      <c r="Q186" s="165"/>
      <c r="R186" s="167"/>
      <c r="S186" s="167"/>
      <c r="T186" s="167"/>
      <c r="U186" s="167"/>
      <c r="V186" s="167"/>
      <c r="W186" s="167"/>
      <c r="X186" s="167"/>
      <c r="Y186" s="167"/>
      <c r="Z186" s="167"/>
      <c r="AA186" s="167"/>
      <c r="AB186" s="167"/>
      <c r="AC186" s="167"/>
      <c r="AD186" s="167"/>
      <c r="AE186" s="167"/>
      <c r="AF186" s="167"/>
      <c r="AG186" s="167"/>
      <c r="AH186" s="167"/>
      <c r="AI186" s="167"/>
      <c r="AJ186" s="167"/>
    </row>
    <row r="187" spans="1:36" s="30" customFormat="1">
      <c r="A187" s="83" t="str">
        <f>IF(F187&lt;&gt;"",1+MAX($A$2:A186),"")</f>
        <v/>
      </c>
      <c r="B187" s="84"/>
      <c r="C187" s="85"/>
      <c r="D187" s="49" t="s">
        <v>196</v>
      </c>
      <c r="E187" s="61"/>
      <c r="F187" s="86"/>
      <c r="G187" s="87"/>
      <c r="H187" s="59"/>
      <c r="I187" s="131"/>
      <c r="J187" s="132"/>
      <c r="K187" s="133"/>
      <c r="L187" s="134"/>
      <c r="M187" s="134"/>
      <c r="N187" s="134"/>
      <c r="O187" s="134"/>
      <c r="P187" s="134"/>
      <c r="Q187" s="165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7"/>
    </row>
    <row r="188" spans="1:36" s="30" customFormat="1">
      <c r="A188" s="83" t="str">
        <f>IF(F188&lt;&gt;"",1+MAX($A$2:A187),"")</f>
        <v/>
      </c>
      <c r="B188" s="84"/>
      <c r="C188" s="85"/>
      <c r="D188" s="79" t="s">
        <v>197</v>
      </c>
      <c r="E188" s="61"/>
      <c r="F188" s="86"/>
      <c r="G188" s="87"/>
      <c r="H188" s="59"/>
      <c r="I188" s="131"/>
      <c r="J188" s="132"/>
      <c r="K188" s="133"/>
      <c r="L188" s="134"/>
      <c r="M188" s="134"/>
      <c r="N188" s="134"/>
      <c r="O188" s="134"/>
      <c r="P188" s="134"/>
      <c r="Q188" s="165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</row>
    <row r="189" spans="1:36" s="30" customFormat="1" ht="46.8">
      <c r="A189" s="83">
        <f>IF(F189&lt;&gt;"",1+MAX($A$2:A188),"")</f>
        <v>144</v>
      </c>
      <c r="B189" s="84"/>
      <c r="C189" s="85"/>
      <c r="D189" s="58" t="s">
        <v>198</v>
      </c>
      <c r="E189" s="61">
        <v>5</v>
      </c>
      <c r="F189" s="60">
        <v>0</v>
      </c>
      <c r="G189" s="55">
        <f t="shared" ref="G189:G230" si="162">(F189*E189)+E189</f>
        <v>5</v>
      </c>
      <c r="H189" s="59" t="s">
        <v>71</v>
      </c>
      <c r="I189" s="131">
        <v>0.7</v>
      </c>
      <c r="J189" s="132">
        <f t="shared" ref="J189:J230" si="163">+I189*G189</f>
        <v>3.5</v>
      </c>
      <c r="K189" s="133">
        <f>'LABOR SHEET'!C$3</f>
        <v>128</v>
      </c>
      <c r="L189" s="134">
        <f t="shared" ref="L189:L230" si="164">I189*K189</f>
        <v>89.6</v>
      </c>
      <c r="M189" s="134">
        <f t="shared" ref="M189:M230" si="165">K189*J189</f>
        <v>448</v>
      </c>
      <c r="N189" s="134">
        <v>117.6</v>
      </c>
      <c r="O189" s="134">
        <f t="shared" ref="O189:O230" si="166">N189*G189</f>
        <v>588</v>
      </c>
      <c r="P189" s="134">
        <f t="shared" ref="P189:P230" si="167">(I189*K189)+N189</f>
        <v>207.2</v>
      </c>
      <c r="Q189" s="164">
        <f t="shared" ref="Q189:Q230" si="168">P189*G189</f>
        <v>1036</v>
      </c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</row>
    <row r="190" spans="1:36" s="30" customFormat="1" ht="46.8">
      <c r="A190" s="83">
        <f>IF(F190&lt;&gt;"",1+MAX($A$2:A189),"")</f>
        <v>145</v>
      </c>
      <c r="B190" s="84"/>
      <c r="C190" s="85"/>
      <c r="D190" s="58" t="s">
        <v>199</v>
      </c>
      <c r="E190" s="61">
        <v>3</v>
      </c>
      <c r="F190" s="60">
        <v>0</v>
      </c>
      <c r="G190" s="55">
        <f t="shared" si="162"/>
        <v>3</v>
      </c>
      <c r="H190" s="59" t="s">
        <v>71</v>
      </c>
      <c r="I190" s="131">
        <v>0.7</v>
      </c>
      <c r="J190" s="132">
        <f t="shared" ref="J190:J193" si="169">+I190*G190</f>
        <v>2.1</v>
      </c>
      <c r="K190" s="133">
        <f>'LABOR SHEET'!C$3</f>
        <v>128</v>
      </c>
      <c r="L190" s="134">
        <f t="shared" ref="L190:L193" si="170">I190*K190</f>
        <v>89.6</v>
      </c>
      <c r="M190" s="134">
        <f t="shared" ref="M190:M193" si="171">K190*J190</f>
        <v>268.8</v>
      </c>
      <c r="N190" s="134">
        <v>117.6</v>
      </c>
      <c r="O190" s="134">
        <f t="shared" ref="O190:O193" si="172">N190*G190</f>
        <v>352.8</v>
      </c>
      <c r="P190" s="134">
        <f t="shared" ref="P190:P193" si="173">(I190*K190)+N190</f>
        <v>207.2</v>
      </c>
      <c r="Q190" s="164">
        <f t="shared" ref="Q190:Q193" si="174">P190*G190</f>
        <v>621.6</v>
      </c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</row>
    <row r="191" spans="1:36" s="30" customFormat="1" ht="46.8">
      <c r="A191" s="83">
        <f>IF(F191&lt;&gt;"",1+MAX($A$2:A190),"")</f>
        <v>146</v>
      </c>
      <c r="B191" s="84"/>
      <c r="C191" s="85"/>
      <c r="D191" s="58" t="s">
        <v>200</v>
      </c>
      <c r="E191" s="61">
        <v>4</v>
      </c>
      <c r="F191" s="60">
        <v>0</v>
      </c>
      <c r="G191" s="55">
        <f t="shared" si="162"/>
        <v>4</v>
      </c>
      <c r="H191" s="59" t="s">
        <v>71</v>
      </c>
      <c r="I191" s="131">
        <v>0.7</v>
      </c>
      <c r="J191" s="132">
        <f t="shared" si="169"/>
        <v>2.8</v>
      </c>
      <c r="K191" s="133">
        <f>'LABOR SHEET'!C$3</f>
        <v>128</v>
      </c>
      <c r="L191" s="134">
        <f t="shared" si="170"/>
        <v>89.6</v>
      </c>
      <c r="M191" s="134">
        <f t="shared" si="171"/>
        <v>358.4</v>
      </c>
      <c r="N191" s="134">
        <v>117.6</v>
      </c>
      <c r="O191" s="134">
        <f t="shared" si="172"/>
        <v>470.4</v>
      </c>
      <c r="P191" s="134">
        <f t="shared" si="173"/>
        <v>207.2</v>
      </c>
      <c r="Q191" s="164">
        <f t="shared" si="174"/>
        <v>828.8</v>
      </c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</row>
    <row r="192" spans="1:36" s="30" customFormat="1" ht="46.8">
      <c r="A192" s="83">
        <f>IF(F192&lt;&gt;"",1+MAX($A$2:A191),"")</f>
        <v>147</v>
      </c>
      <c r="B192" s="84"/>
      <c r="C192" s="85"/>
      <c r="D192" s="58" t="s">
        <v>201</v>
      </c>
      <c r="E192" s="61">
        <v>2</v>
      </c>
      <c r="F192" s="60">
        <v>0</v>
      </c>
      <c r="G192" s="55">
        <f t="shared" si="162"/>
        <v>2</v>
      </c>
      <c r="H192" s="59" t="s">
        <v>71</v>
      </c>
      <c r="I192" s="131">
        <v>0.7</v>
      </c>
      <c r="J192" s="132">
        <f t="shared" si="169"/>
        <v>1.4</v>
      </c>
      <c r="K192" s="133">
        <f>'LABOR SHEET'!C$3</f>
        <v>128</v>
      </c>
      <c r="L192" s="134">
        <f t="shared" si="170"/>
        <v>89.6</v>
      </c>
      <c r="M192" s="134">
        <f t="shared" si="171"/>
        <v>179.2</v>
      </c>
      <c r="N192" s="134">
        <v>117.6</v>
      </c>
      <c r="O192" s="134">
        <f t="shared" si="172"/>
        <v>235.2</v>
      </c>
      <c r="P192" s="134">
        <f t="shared" si="173"/>
        <v>207.2</v>
      </c>
      <c r="Q192" s="164">
        <f t="shared" si="174"/>
        <v>414.4</v>
      </c>
      <c r="R192" s="167"/>
      <c r="S192" s="167"/>
      <c r="T192" s="167"/>
      <c r="U192" s="167"/>
      <c r="V192" s="167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</row>
    <row r="193" spans="1:36" s="30" customFormat="1" ht="46.8">
      <c r="A193" s="83">
        <f>IF(F193&lt;&gt;"",1+MAX($A$2:A192),"")</f>
        <v>148</v>
      </c>
      <c r="B193" s="84"/>
      <c r="C193" s="85"/>
      <c r="D193" s="58" t="s">
        <v>202</v>
      </c>
      <c r="E193" s="61">
        <v>4</v>
      </c>
      <c r="F193" s="60">
        <v>0</v>
      </c>
      <c r="G193" s="55">
        <f t="shared" si="162"/>
        <v>4</v>
      </c>
      <c r="H193" s="59" t="s">
        <v>71</v>
      </c>
      <c r="I193" s="131">
        <v>0.7</v>
      </c>
      <c r="J193" s="132">
        <f t="shared" si="169"/>
        <v>2.8</v>
      </c>
      <c r="K193" s="133">
        <f>'LABOR SHEET'!C$3</f>
        <v>128</v>
      </c>
      <c r="L193" s="134">
        <f t="shared" si="170"/>
        <v>89.6</v>
      </c>
      <c r="M193" s="134">
        <f t="shared" si="171"/>
        <v>358.4</v>
      </c>
      <c r="N193" s="134">
        <v>117.6</v>
      </c>
      <c r="O193" s="134">
        <f t="shared" si="172"/>
        <v>470.4</v>
      </c>
      <c r="P193" s="134">
        <f t="shared" si="173"/>
        <v>207.2</v>
      </c>
      <c r="Q193" s="164">
        <f t="shared" si="174"/>
        <v>828.8</v>
      </c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</row>
    <row r="194" spans="1:36" s="30" customFormat="1" ht="46.8">
      <c r="A194" s="83">
        <f>IF(F194&lt;&gt;"",1+MAX($A$2:A193),"")</f>
        <v>149</v>
      </c>
      <c r="B194" s="84"/>
      <c r="C194" s="85"/>
      <c r="D194" s="58" t="s">
        <v>203</v>
      </c>
      <c r="E194" s="61">
        <v>1</v>
      </c>
      <c r="F194" s="60">
        <v>0</v>
      </c>
      <c r="G194" s="55">
        <f t="shared" si="162"/>
        <v>1</v>
      </c>
      <c r="H194" s="59" t="s">
        <v>71</v>
      </c>
      <c r="I194" s="131">
        <v>0.7</v>
      </c>
      <c r="J194" s="132">
        <f t="shared" si="163"/>
        <v>0.7</v>
      </c>
      <c r="K194" s="133">
        <f>'LABOR SHEET'!C$3</f>
        <v>128</v>
      </c>
      <c r="L194" s="134">
        <f t="shared" si="164"/>
        <v>89.6</v>
      </c>
      <c r="M194" s="134">
        <f t="shared" si="165"/>
        <v>89.6</v>
      </c>
      <c r="N194" s="134">
        <v>138</v>
      </c>
      <c r="O194" s="134">
        <f t="shared" si="166"/>
        <v>138</v>
      </c>
      <c r="P194" s="134">
        <f t="shared" si="167"/>
        <v>227.6</v>
      </c>
      <c r="Q194" s="164">
        <f t="shared" si="168"/>
        <v>227.6</v>
      </c>
      <c r="R194" s="167"/>
      <c r="S194" s="167"/>
      <c r="T194" s="167"/>
      <c r="U194" s="167"/>
      <c r="V194" s="167"/>
      <c r="W194" s="167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</row>
    <row r="195" spans="1:36" s="30" customFormat="1" ht="46.8">
      <c r="A195" s="83">
        <f>IF(F195&lt;&gt;"",1+MAX($A$2:A194),"")</f>
        <v>150</v>
      </c>
      <c r="B195" s="84"/>
      <c r="C195" s="85"/>
      <c r="D195" s="58" t="s">
        <v>204</v>
      </c>
      <c r="E195" s="61">
        <v>2</v>
      </c>
      <c r="F195" s="60">
        <v>0</v>
      </c>
      <c r="G195" s="55">
        <f t="shared" si="162"/>
        <v>2</v>
      </c>
      <c r="H195" s="59" t="s">
        <v>71</v>
      </c>
      <c r="I195" s="131">
        <v>0.7</v>
      </c>
      <c r="J195" s="132">
        <f t="shared" ref="J195" si="175">+I195*G195</f>
        <v>1.4</v>
      </c>
      <c r="K195" s="133">
        <f>'LABOR SHEET'!C$3</f>
        <v>128</v>
      </c>
      <c r="L195" s="134">
        <f t="shared" ref="L195" si="176">I195*K195</f>
        <v>89.6</v>
      </c>
      <c r="M195" s="134">
        <f t="shared" ref="M195" si="177">K195*J195</f>
        <v>179.2</v>
      </c>
      <c r="N195" s="134">
        <v>138</v>
      </c>
      <c r="O195" s="134">
        <f t="shared" ref="O195" si="178">N195*G195</f>
        <v>276</v>
      </c>
      <c r="P195" s="134">
        <f t="shared" ref="P195" si="179">(I195*K195)+N195</f>
        <v>227.6</v>
      </c>
      <c r="Q195" s="164">
        <f t="shared" ref="Q195" si="180">P195*G195</f>
        <v>455.2</v>
      </c>
      <c r="R195" s="167"/>
      <c r="S195" s="167"/>
      <c r="T195" s="167"/>
      <c r="U195" s="167"/>
      <c r="V195" s="167"/>
      <c r="W195" s="167"/>
      <c r="X195" s="167"/>
      <c r="Y195" s="167"/>
      <c r="Z195" s="167"/>
      <c r="AA195" s="167"/>
      <c r="AB195" s="167"/>
      <c r="AC195" s="167"/>
      <c r="AD195" s="167"/>
      <c r="AE195" s="167"/>
      <c r="AF195" s="167"/>
      <c r="AG195" s="167"/>
      <c r="AH195" s="167"/>
      <c r="AI195" s="167"/>
      <c r="AJ195" s="167"/>
    </row>
    <row r="196" spans="1:36" s="30" customFormat="1" ht="46.8">
      <c r="A196" s="83">
        <f>IF(F196&lt;&gt;"",1+MAX($A$2:A195),"")</f>
        <v>151</v>
      </c>
      <c r="B196" s="84"/>
      <c r="C196" s="85"/>
      <c r="D196" s="58" t="s">
        <v>205</v>
      </c>
      <c r="E196" s="61">
        <v>14</v>
      </c>
      <c r="F196" s="60">
        <v>0</v>
      </c>
      <c r="G196" s="55">
        <f t="shared" si="162"/>
        <v>14</v>
      </c>
      <c r="H196" s="59" t="s">
        <v>71</v>
      </c>
      <c r="I196" s="131">
        <v>0.7</v>
      </c>
      <c r="J196" s="132">
        <f t="shared" si="163"/>
        <v>9.8000000000000007</v>
      </c>
      <c r="K196" s="133">
        <f>'LABOR SHEET'!C$3</f>
        <v>128</v>
      </c>
      <c r="L196" s="134">
        <f t="shared" si="164"/>
        <v>89.6</v>
      </c>
      <c r="M196" s="134">
        <f t="shared" si="165"/>
        <v>1254.4000000000001</v>
      </c>
      <c r="N196" s="134">
        <v>117.6</v>
      </c>
      <c r="O196" s="134">
        <f t="shared" si="166"/>
        <v>1646.4</v>
      </c>
      <c r="P196" s="134">
        <f t="shared" si="167"/>
        <v>207.2</v>
      </c>
      <c r="Q196" s="164">
        <f t="shared" si="168"/>
        <v>2900.8</v>
      </c>
      <c r="R196" s="167"/>
      <c r="S196" s="167"/>
      <c r="T196" s="167"/>
      <c r="U196" s="167"/>
      <c r="V196" s="167"/>
      <c r="W196" s="167"/>
      <c r="X196" s="167"/>
      <c r="Y196" s="167"/>
      <c r="Z196" s="167"/>
      <c r="AA196" s="167"/>
      <c r="AB196" s="167"/>
      <c r="AC196" s="167"/>
      <c r="AD196" s="167"/>
      <c r="AE196" s="167"/>
      <c r="AF196" s="167"/>
      <c r="AG196" s="167"/>
      <c r="AH196" s="167"/>
      <c r="AI196" s="167"/>
      <c r="AJ196" s="167"/>
    </row>
    <row r="197" spans="1:36" s="30" customFormat="1" ht="46.8">
      <c r="A197" s="83">
        <f>IF(F197&lt;&gt;"",1+MAX($A$2:A196),"")</f>
        <v>152</v>
      </c>
      <c r="B197" s="84"/>
      <c r="C197" s="85"/>
      <c r="D197" s="58" t="s">
        <v>206</v>
      </c>
      <c r="E197" s="61">
        <v>3</v>
      </c>
      <c r="F197" s="60">
        <v>0</v>
      </c>
      <c r="G197" s="55">
        <f t="shared" si="162"/>
        <v>3</v>
      </c>
      <c r="H197" s="59" t="s">
        <v>71</v>
      </c>
      <c r="I197" s="131">
        <v>0.7</v>
      </c>
      <c r="J197" s="132">
        <f t="shared" si="163"/>
        <v>2.1</v>
      </c>
      <c r="K197" s="133">
        <f>'LABOR SHEET'!C$3</f>
        <v>128</v>
      </c>
      <c r="L197" s="134">
        <f t="shared" si="164"/>
        <v>89.6</v>
      </c>
      <c r="M197" s="134">
        <f t="shared" si="165"/>
        <v>268.8</v>
      </c>
      <c r="N197" s="134">
        <v>117.6</v>
      </c>
      <c r="O197" s="134">
        <f t="shared" si="166"/>
        <v>352.8</v>
      </c>
      <c r="P197" s="134">
        <f t="shared" si="167"/>
        <v>207.2</v>
      </c>
      <c r="Q197" s="164">
        <f t="shared" si="168"/>
        <v>621.6</v>
      </c>
      <c r="R197" s="167"/>
      <c r="S197" s="167"/>
      <c r="T197" s="167"/>
      <c r="U197" s="167"/>
      <c r="V197" s="167"/>
      <c r="W197" s="167"/>
      <c r="X197" s="167"/>
      <c r="Y197" s="167"/>
      <c r="Z197" s="167"/>
      <c r="AA197" s="167"/>
      <c r="AB197" s="167"/>
      <c r="AC197" s="167"/>
      <c r="AD197" s="167"/>
      <c r="AE197" s="167"/>
      <c r="AF197" s="167"/>
      <c r="AG197" s="167"/>
      <c r="AH197" s="167"/>
      <c r="AI197" s="167"/>
      <c r="AJ197" s="167"/>
    </row>
    <row r="198" spans="1:36" s="30" customFormat="1" ht="46.8">
      <c r="A198" s="83">
        <f>IF(F198&lt;&gt;"",1+MAX($A$2:A197),"")</f>
        <v>153</v>
      </c>
      <c r="B198" s="84"/>
      <c r="C198" s="85"/>
      <c r="D198" s="58" t="s">
        <v>207</v>
      </c>
      <c r="E198" s="61">
        <v>1</v>
      </c>
      <c r="F198" s="60">
        <v>0</v>
      </c>
      <c r="G198" s="55">
        <f t="shared" si="162"/>
        <v>1</v>
      </c>
      <c r="H198" s="59" t="s">
        <v>71</v>
      </c>
      <c r="I198" s="131">
        <v>0.7</v>
      </c>
      <c r="J198" s="132">
        <f t="shared" si="163"/>
        <v>0.7</v>
      </c>
      <c r="K198" s="133">
        <f>'LABOR SHEET'!C$3</f>
        <v>128</v>
      </c>
      <c r="L198" s="134">
        <f t="shared" si="164"/>
        <v>89.6</v>
      </c>
      <c r="M198" s="134">
        <f t="shared" si="165"/>
        <v>89.6</v>
      </c>
      <c r="N198" s="134">
        <v>117.6</v>
      </c>
      <c r="O198" s="134">
        <f t="shared" si="166"/>
        <v>117.6</v>
      </c>
      <c r="P198" s="134">
        <f t="shared" si="167"/>
        <v>207.2</v>
      </c>
      <c r="Q198" s="164">
        <f t="shared" si="168"/>
        <v>207.2</v>
      </c>
      <c r="R198" s="167"/>
      <c r="S198" s="167"/>
      <c r="T198" s="167"/>
      <c r="U198" s="167"/>
      <c r="V198" s="167"/>
      <c r="W198" s="167"/>
      <c r="X198" s="167"/>
      <c r="Y198" s="167"/>
      <c r="Z198" s="167"/>
      <c r="AA198" s="167"/>
      <c r="AB198" s="167"/>
      <c r="AC198" s="167"/>
      <c r="AD198" s="167"/>
      <c r="AE198" s="167"/>
      <c r="AF198" s="167"/>
      <c r="AG198" s="167"/>
      <c r="AH198" s="167"/>
      <c r="AI198" s="167"/>
      <c r="AJ198" s="167"/>
    </row>
    <row r="199" spans="1:36" s="30" customFormat="1" ht="46.8">
      <c r="A199" s="83">
        <f>IF(F199&lt;&gt;"",1+MAX($A$2:A198),"")</f>
        <v>154</v>
      </c>
      <c r="B199" s="84"/>
      <c r="C199" s="85"/>
      <c r="D199" s="58" t="s">
        <v>208</v>
      </c>
      <c r="E199" s="61">
        <v>16</v>
      </c>
      <c r="F199" s="60">
        <v>0</v>
      </c>
      <c r="G199" s="55">
        <f t="shared" si="162"/>
        <v>16</v>
      </c>
      <c r="H199" s="59" t="s">
        <v>71</v>
      </c>
      <c r="I199" s="131">
        <v>1</v>
      </c>
      <c r="J199" s="132">
        <f t="shared" si="163"/>
        <v>16</v>
      </c>
      <c r="K199" s="133">
        <f>'LABOR SHEET'!C$3</f>
        <v>128</v>
      </c>
      <c r="L199" s="134">
        <f t="shared" si="164"/>
        <v>128</v>
      </c>
      <c r="M199" s="134">
        <f t="shared" si="165"/>
        <v>2048</v>
      </c>
      <c r="N199" s="134">
        <v>305.25</v>
      </c>
      <c r="O199" s="134">
        <f t="shared" si="166"/>
        <v>4884</v>
      </c>
      <c r="P199" s="134">
        <f t="shared" si="167"/>
        <v>433.25</v>
      </c>
      <c r="Q199" s="164">
        <f t="shared" si="168"/>
        <v>6932</v>
      </c>
      <c r="R199" s="167"/>
      <c r="S199" s="167"/>
      <c r="T199" s="167"/>
      <c r="U199" s="167"/>
      <c r="V199" s="167"/>
      <c r="W199" s="167"/>
      <c r="X199" s="167"/>
      <c r="Y199" s="167"/>
      <c r="Z199" s="167"/>
      <c r="AA199" s="167"/>
      <c r="AB199" s="167"/>
      <c r="AC199" s="167"/>
      <c r="AD199" s="167"/>
      <c r="AE199" s="167"/>
      <c r="AF199" s="167"/>
      <c r="AG199" s="167"/>
      <c r="AH199" s="167"/>
      <c r="AI199" s="167"/>
      <c r="AJ199" s="167"/>
    </row>
    <row r="200" spans="1:36" s="30" customFormat="1" ht="46.8">
      <c r="A200" s="83">
        <f>IF(F200&lt;&gt;"",1+MAX($A$2:A199),"")</f>
        <v>155</v>
      </c>
      <c r="B200" s="84"/>
      <c r="C200" s="85"/>
      <c r="D200" s="58" t="s">
        <v>209</v>
      </c>
      <c r="E200" s="61">
        <v>5</v>
      </c>
      <c r="F200" s="60">
        <v>0</v>
      </c>
      <c r="G200" s="55">
        <f t="shared" si="162"/>
        <v>5</v>
      </c>
      <c r="H200" s="59" t="s">
        <v>71</v>
      </c>
      <c r="I200" s="131">
        <v>1</v>
      </c>
      <c r="J200" s="132">
        <f t="shared" si="163"/>
        <v>5</v>
      </c>
      <c r="K200" s="133">
        <f>'LABOR SHEET'!C$3</f>
        <v>128</v>
      </c>
      <c r="L200" s="134">
        <f t="shared" si="164"/>
        <v>128</v>
      </c>
      <c r="M200" s="134">
        <f t="shared" si="165"/>
        <v>640</v>
      </c>
      <c r="N200" s="134">
        <v>203.21</v>
      </c>
      <c r="O200" s="134">
        <f t="shared" si="166"/>
        <v>1016.05</v>
      </c>
      <c r="P200" s="134">
        <f t="shared" si="167"/>
        <v>331.21</v>
      </c>
      <c r="Q200" s="164">
        <f t="shared" si="168"/>
        <v>1656.05</v>
      </c>
      <c r="R200" s="167"/>
      <c r="S200" s="167"/>
      <c r="T200" s="167"/>
      <c r="U200" s="167"/>
      <c r="V200" s="167"/>
      <c r="W200" s="167"/>
      <c r="X200" s="167"/>
      <c r="Y200" s="167"/>
      <c r="Z200" s="167"/>
      <c r="AA200" s="167"/>
      <c r="AB200" s="167"/>
      <c r="AC200" s="167"/>
      <c r="AD200" s="167"/>
      <c r="AE200" s="167"/>
      <c r="AF200" s="167"/>
      <c r="AG200" s="167"/>
      <c r="AH200" s="167"/>
      <c r="AI200" s="167"/>
      <c r="AJ200" s="167"/>
    </row>
    <row r="201" spans="1:36" s="30" customFormat="1" ht="46.8">
      <c r="A201" s="83">
        <f>IF(F201&lt;&gt;"",1+MAX($A$2:A200),"")</f>
        <v>156</v>
      </c>
      <c r="B201" s="84"/>
      <c r="C201" s="85"/>
      <c r="D201" s="58" t="s">
        <v>210</v>
      </c>
      <c r="E201" s="61">
        <v>12</v>
      </c>
      <c r="F201" s="60">
        <v>0</v>
      </c>
      <c r="G201" s="55">
        <f t="shared" si="162"/>
        <v>12</v>
      </c>
      <c r="H201" s="59" t="s">
        <v>71</v>
      </c>
      <c r="I201" s="131">
        <v>1.25</v>
      </c>
      <c r="J201" s="132">
        <f t="shared" si="163"/>
        <v>15</v>
      </c>
      <c r="K201" s="133">
        <f>'LABOR SHEET'!C$3</f>
        <v>128</v>
      </c>
      <c r="L201" s="134">
        <f t="shared" si="164"/>
        <v>160</v>
      </c>
      <c r="M201" s="134">
        <f t="shared" si="165"/>
        <v>1920</v>
      </c>
      <c r="N201" s="134">
        <v>347.19</v>
      </c>
      <c r="O201" s="134">
        <f t="shared" si="166"/>
        <v>4166.28</v>
      </c>
      <c r="P201" s="134">
        <f t="shared" si="167"/>
        <v>507.19</v>
      </c>
      <c r="Q201" s="164">
        <f t="shared" si="168"/>
        <v>6086.28</v>
      </c>
      <c r="R201" s="167"/>
      <c r="S201" s="167"/>
      <c r="T201" s="167"/>
      <c r="U201" s="167"/>
      <c r="V201" s="167"/>
      <c r="W201" s="167"/>
      <c r="X201" s="167"/>
      <c r="Y201" s="167"/>
      <c r="Z201" s="167"/>
      <c r="AA201" s="167"/>
      <c r="AB201" s="167"/>
      <c r="AC201" s="167"/>
      <c r="AD201" s="167"/>
      <c r="AE201" s="167"/>
      <c r="AF201" s="167"/>
      <c r="AG201" s="167"/>
      <c r="AH201" s="167"/>
      <c r="AI201" s="167"/>
      <c r="AJ201" s="167"/>
    </row>
    <row r="202" spans="1:36" s="30" customFormat="1" ht="46.8">
      <c r="A202" s="83">
        <f>IF(F202&lt;&gt;"",1+MAX($A$2:A201),"")</f>
        <v>157</v>
      </c>
      <c r="B202" s="84"/>
      <c r="C202" s="85"/>
      <c r="D202" s="58" t="s">
        <v>211</v>
      </c>
      <c r="E202" s="61">
        <v>17</v>
      </c>
      <c r="F202" s="60">
        <v>0</v>
      </c>
      <c r="G202" s="55">
        <f t="shared" si="162"/>
        <v>17</v>
      </c>
      <c r="H202" s="59" t="s">
        <v>71</v>
      </c>
      <c r="I202" s="131">
        <v>1</v>
      </c>
      <c r="J202" s="132">
        <f t="shared" si="163"/>
        <v>17</v>
      </c>
      <c r="K202" s="133">
        <f>'LABOR SHEET'!C$3</f>
        <v>128</v>
      </c>
      <c r="L202" s="134">
        <f t="shared" si="164"/>
        <v>128</v>
      </c>
      <c r="M202" s="134">
        <f t="shared" si="165"/>
        <v>2176</v>
      </c>
      <c r="N202" s="134">
        <v>148.54</v>
      </c>
      <c r="O202" s="134">
        <f t="shared" si="166"/>
        <v>2525.1799999999998</v>
      </c>
      <c r="P202" s="134">
        <f t="shared" si="167"/>
        <v>276.54000000000002</v>
      </c>
      <c r="Q202" s="164">
        <f t="shared" si="168"/>
        <v>4701.18</v>
      </c>
      <c r="R202" s="167"/>
      <c r="S202" s="167"/>
      <c r="T202" s="167"/>
      <c r="U202" s="167"/>
      <c r="V202" s="167"/>
      <c r="W202" s="167"/>
      <c r="X202" s="167"/>
      <c r="Y202" s="167"/>
      <c r="Z202" s="167"/>
      <c r="AA202" s="167"/>
      <c r="AB202" s="167"/>
      <c r="AC202" s="167"/>
      <c r="AD202" s="167"/>
      <c r="AE202" s="167"/>
      <c r="AF202" s="167"/>
      <c r="AG202" s="167"/>
      <c r="AH202" s="167"/>
      <c r="AI202" s="167"/>
      <c r="AJ202" s="167"/>
    </row>
    <row r="203" spans="1:36" s="30" customFormat="1" ht="46.8">
      <c r="A203" s="83">
        <f>IF(F203&lt;&gt;"",1+MAX($A$2:A202),"")</f>
        <v>158</v>
      </c>
      <c r="B203" s="84"/>
      <c r="C203" s="85"/>
      <c r="D203" s="58" t="s">
        <v>212</v>
      </c>
      <c r="E203" s="61">
        <v>11</v>
      </c>
      <c r="F203" s="60">
        <v>0</v>
      </c>
      <c r="G203" s="55">
        <f t="shared" si="162"/>
        <v>11</v>
      </c>
      <c r="H203" s="59" t="s">
        <v>71</v>
      </c>
      <c r="I203" s="131">
        <v>2</v>
      </c>
      <c r="J203" s="132">
        <f t="shared" si="163"/>
        <v>22</v>
      </c>
      <c r="K203" s="133">
        <f>'LABOR SHEET'!C$3</f>
        <v>128</v>
      </c>
      <c r="L203" s="134">
        <f t="shared" si="164"/>
        <v>256</v>
      </c>
      <c r="M203" s="134">
        <f t="shared" si="165"/>
        <v>2816</v>
      </c>
      <c r="N203" s="134">
        <v>532</v>
      </c>
      <c r="O203" s="134">
        <f t="shared" si="166"/>
        <v>5852</v>
      </c>
      <c r="P203" s="134">
        <f t="shared" si="167"/>
        <v>788</v>
      </c>
      <c r="Q203" s="164">
        <f t="shared" si="168"/>
        <v>8668</v>
      </c>
      <c r="R203" s="167"/>
      <c r="S203" s="167"/>
      <c r="T203" s="167"/>
      <c r="U203" s="167"/>
      <c r="V203" s="167"/>
      <c r="W203" s="167"/>
      <c r="X203" s="167"/>
      <c r="Y203" s="167"/>
      <c r="Z203" s="167"/>
      <c r="AA203" s="167"/>
      <c r="AB203" s="167"/>
      <c r="AC203" s="167"/>
      <c r="AD203" s="167"/>
      <c r="AE203" s="167"/>
      <c r="AF203" s="167"/>
      <c r="AG203" s="167"/>
      <c r="AH203" s="167"/>
      <c r="AI203" s="167"/>
      <c r="AJ203" s="167"/>
    </row>
    <row r="204" spans="1:36" s="30" customFormat="1" ht="46.8">
      <c r="A204" s="83">
        <f>IF(F204&lt;&gt;"",1+MAX($A$2:A203),"")</f>
        <v>159</v>
      </c>
      <c r="B204" s="84"/>
      <c r="C204" s="85"/>
      <c r="D204" s="58" t="s">
        <v>213</v>
      </c>
      <c r="E204" s="61">
        <v>6</v>
      </c>
      <c r="F204" s="60">
        <v>0</v>
      </c>
      <c r="G204" s="55">
        <f t="shared" si="162"/>
        <v>6</v>
      </c>
      <c r="H204" s="59" t="s">
        <v>71</v>
      </c>
      <c r="I204" s="131">
        <f>0.3*34</f>
        <v>10.199999999999999</v>
      </c>
      <c r="J204" s="132">
        <f t="shared" si="163"/>
        <v>61.2</v>
      </c>
      <c r="K204" s="133">
        <f>'LABOR SHEET'!C$3</f>
        <v>128</v>
      </c>
      <c r="L204" s="134">
        <f t="shared" si="164"/>
        <v>1305.5999999999999</v>
      </c>
      <c r="M204" s="134">
        <f t="shared" si="165"/>
        <v>7833.6</v>
      </c>
      <c r="N204" s="134">
        <f>122.5*34</f>
        <v>4165</v>
      </c>
      <c r="O204" s="134">
        <f t="shared" si="166"/>
        <v>24990</v>
      </c>
      <c r="P204" s="134">
        <f t="shared" si="167"/>
        <v>5470.6</v>
      </c>
      <c r="Q204" s="164">
        <f t="shared" si="168"/>
        <v>32823.599999999999</v>
      </c>
      <c r="R204" s="167"/>
      <c r="S204" s="167"/>
      <c r="T204" s="167"/>
      <c r="U204" s="167"/>
      <c r="V204" s="167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167"/>
    </row>
    <row r="205" spans="1:36" s="30" customFormat="1" ht="46.8">
      <c r="A205" s="83">
        <f>IF(F205&lt;&gt;"",1+MAX($A$2:A204),"")</f>
        <v>160</v>
      </c>
      <c r="B205" s="84"/>
      <c r="C205" s="85"/>
      <c r="D205" s="58" t="s">
        <v>214</v>
      </c>
      <c r="E205" s="61">
        <v>4</v>
      </c>
      <c r="F205" s="60">
        <v>0</v>
      </c>
      <c r="G205" s="55">
        <f t="shared" si="162"/>
        <v>4</v>
      </c>
      <c r="H205" s="59" t="s">
        <v>71</v>
      </c>
      <c r="I205" s="131">
        <f>0.3*34</f>
        <v>10.199999999999999</v>
      </c>
      <c r="J205" s="132">
        <f t="shared" si="163"/>
        <v>40.799999999999997</v>
      </c>
      <c r="K205" s="133">
        <f>'LABOR SHEET'!C$3</f>
        <v>128</v>
      </c>
      <c r="L205" s="134">
        <f t="shared" si="164"/>
        <v>1305.5999999999999</v>
      </c>
      <c r="M205" s="134">
        <f t="shared" si="165"/>
        <v>5222.3999999999996</v>
      </c>
      <c r="N205" s="134">
        <f>122.5*34</f>
        <v>4165</v>
      </c>
      <c r="O205" s="134">
        <f t="shared" si="166"/>
        <v>16660</v>
      </c>
      <c r="P205" s="134">
        <f t="shared" si="167"/>
        <v>5470.6</v>
      </c>
      <c r="Q205" s="164">
        <f t="shared" si="168"/>
        <v>21882.400000000001</v>
      </c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</row>
    <row r="206" spans="1:36" s="30" customFormat="1" ht="46.8">
      <c r="A206" s="83">
        <f>IF(F206&lt;&gt;"",1+MAX($A$2:A205),"")</f>
        <v>161</v>
      </c>
      <c r="B206" s="84"/>
      <c r="C206" s="85"/>
      <c r="D206" s="58" t="s">
        <v>215</v>
      </c>
      <c r="E206" s="61">
        <v>55</v>
      </c>
      <c r="F206" s="60">
        <v>0</v>
      </c>
      <c r="G206" s="55">
        <f t="shared" si="162"/>
        <v>55</v>
      </c>
      <c r="H206" s="59" t="s">
        <v>71</v>
      </c>
      <c r="I206" s="131">
        <v>0.7</v>
      </c>
      <c r="J206" s="132">
        <f t="shared" si="163"/>
        <v>38.5</v>
      </c>
      <c r="K206" s="133">
        <f>'LABOR SHEET'!C$3</f>
        <v>128</v>
      </c>
      <c r="L206" s="134">
        <f t="shared" si="164"/>
        <v>89.6</v>
      </c>
      <c r="M206" s="134">
        <f t="shared" si="165"/>
        <v>4928</v>
      </c>
      <c r="N206" s="134">
        <v>166.62</v>
      </c>
      <c r="O206" s="134">
        <f t="shared" si="166"/>
        <v>9164.1</v>
      </c>
      <c r="P206" s="134">
        <f t="shared" si="167"/>
        <v>256.22000000000003</v>
      </c>
      <c r="Q206" s="164">
        <f t="shared" si="168"/>
        <v>14092.1</v>
      </c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</row>
    <row r="207" spans="1:36" s="30" customFormat="1" ht="46.8">
      <c r="A207" s="83">
        <f>IF(F207&lt;&gt;"",1+MAX($A$2:A206),"")</f>
        <v>162</v>
      </c>
      <c r="B207" s="84"/>
      <c r="C207" s="85"/>
      <c r="D207" s="58" t="s">
        <v>216</v>
      </c>
      <c r="E207" s="61">
        <v>10</v>
      </c>
      <c r="F207" s="60">
        <v>0</v>
      </c>
      <c r="G207" s="55">
        <f t="shared" si="162"/>
        <v>10</v>
      </c>
      <c r="H207" s="59" t="s">
        <v>71</v>
      </c>
      <c r="I207" s="131">
        <f>0.25*16</f>
        <v>4</v>
      </c>
      <c r="J207" s="132">
        <f t="shared" si="163"/>
        <v>40</v>
      </c>
      <c r="K207" s="133">
        <f>'LABOR SHEET'!C$3</f>
        <v>128</v>
      </c>
      <c r="L207" s="134">
        <f t="shared" si="164"/>
        <v>512</v>
      </c>
      <c r="M207" s="134">
        <f t="shared" si="165"/>
        <v>5120</v>
      </c>
      <c r="N207" s="134">
        <f>90*16</f>
        <v>1440</v>
      </c>
      <c r="O207" s="134">
        <f t="shared" si="166"/>
        <v>14400</v>
      </c>
      <c r="P207" s="134">
        <f t="shared" si="167"/>
        <v>1952</v>
      </c>
      <c r="Q207" s="164">
        <f t="shared" si="168"/>
        <v>19520</v>
      </c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</row>
    <row r="208" spans="1:36" s="30" customFormat="1" ht="46.8">
      <c r="A208" s="83">
        <f>IF(F208&lt;&gt;"",1+MAX($A$2:A207),"")</f>
        <v>163</v>
      </c>
      <c r="B208" s="84"/>
      <c r="C208" s="85"/>
      <c r="D208" s="58" t="s">
        <v>217</v>
      </c>
      <c r="E208" s="61">
        <v>1</v>
      </c>
      <c r="F208" s="60">
        <v>0</v>
      </c>
      <c r="G208" s="55">
        <f t="shared" si="162"/>
        <v>1</v>
      </c>
      <c r="H208" s="59" t="s">
        <v>71</v>
      </c>
      <c r="I208" s="131">
        <f>0.25*8</f>
        <v>2</v>
      </c>
      <c r="J208" s="132">
        <f t="shared" si="163"/>
        <v>2</v>
      </c>
      <c r="K208" s="133">
        <f>'LABOR SHEET'!C$3</f>
        <v>128</v>
      </c>
      <c r="L208" s="134">
        <f t="shared" si="164"/>
        <v>256</v>
      </c>
      <c r="M208" s="134">
        <f t="shared" si="165"/>
        <v>256</v>
      </c>
      <c r="N208" s="134">
        <f>90*8</f>
        <v>720</v>
      </c>
      <c r="O208" s="134">
        <f t="shared" si="166"/>
        <v>720</v>
      </c>
      <c r="P208" s="134">
        <f t="shared" si="167"/>
        <v>976</v>
      </c>
      <c r="Q208" s="164">
        <f t="shared" si="168"/>
        <v>976</v>
      </c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</row>
    <row r="209" spans="1:36" s="30" customFormat="1" ht="46.8">
      <c r="A209" s="83">
        <f>IF(F209&lt;&gt;"",1+MAX($A$2:A208),"")</f>
        <v>164</v>
      </c>
      <c r="B209" s="84"/>
      <c r="C209" s="85"/>
      <c r="D209" s="58" t="s">
        <v>218</v>
      </c>
      <c r="E209" s="61">
        <v>1</v>
      </c>
      <c r="F209" s="60">
        <v>0</v>
      </c>
      <c r="G209" s="55">
        <f t="shared" si="162"/>
        <v>1</v>
      </c>
      <c r="H209" s="59" t="s">
        <v>71</v>
      </c>
      <c r="I209" s="131">
        <f>0.25*12</f>
        <v>3</v>
      </c>
      <c r="J209" s="132">
        <f t="shared" si="163"/>
        <v>3</v>
      </c>
      <c r="K209" s="133">
        <f>'LABOR SHEET'!C$3</f>
        <v>128</v>
      </c>
      <c r="L209" s="134">
        <f t="shared" si="164"/>
        <v>384</v>
      </c>
      <c r="M209" s="134">
        <f t="shared" si="165"/>
        <v>384</v>
      </c>
      <c r="N209" s="134">
        <f>90*12</f>
        <v>1080</v>
      </c>
      <c r="O209" s="134">
        <f t="shared" si="166"/>
        <v>1080</v>
      </c>
      <c r="P209" s="134">
        <f t="shared" si="167"/>
        <v>1464</v>
      </c>
      <c r="Q209" s="164">
        <f t="shared" si="168"/>
        <v>1464</v>
      </c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</row>
    <row r="210" spans="1:36" s="30" customFormat="1" ht="46.8">
      <c r="A210" s="83">
        <f>IF(F210&lt;&gt;"",1+MAX($A$2:A209),"")</f>
        <v>165</v>
      </c>
      <c r="B210" s="84"/>
      <c r="C210" s="85"/>
      <c r="D210" s="58" t="s">
        <v>219</v>
      </c>
      <c r="E210" s="61">
        <v>1</v>
      </c>
      <c r="F210" s="60">
        <v>0</v>
      </c>
      <c r="G210" s="55">
        <f t="shared" si="162"/>
        <v>1</v>
      </c>
      <c r="H210" s="59" t="s">
        <v>71</v>
      </c>
      <c r="I210" s="131">
        <f>0.25*7.25</f>
        <v>1.8125</v>
      </c>
      <c r="J210" s="132">
        <f t="shared" si="163"/>
        <v>1.8125</v>
      </c>
      <c r="K210" s="133">
        <f>'LABOR SHEET'!C$3</f>
        <v>128</v>
      </c>
      <c r="L210" s="134">
        <f t="shared" si="164"/>
        <v>232</v>
      </c>
      <c r="M210" s="134">
        <f t="shared" si="165"/>
        <v>232</v>
      </c>
      <c r="N210" s="134">
        <f>60*7.25</f>
        <v>435</v>
      </c>
      <c r="O210" s="134">
        <f t="shared" si="166"/>
        <v>435</v>
      </c>
      <c r="P210" s="134">
        <f t="shared" si="167"/>
        <v>667</v>
      </c>
      <c r="Q210" s="164">
        <f t="shared" si="168"/>
        <v>667</v>
      </c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</row>
    <row r="211" spans="1:36" s="30" customFormat="1" ht="46.8">
      <c r="A211" s="83">
        <f>IF(F211&lt;&gt;"",1+MAX($A$2:A210),"")</f>
        <v>166</v>
      </c>
      <c r="B211" s="84"/>
      <c r="C211" s="85"/>
      <c r="D211" s="58" t="s">
        <v>220</v>
      </c>
      <c r="E211" s="61">
        <v>1</v>
      </c>
      <c r="F211" s="60">
        <v>0</v>
      </c>
      <c r="G211" s="55">
        <f t="shared" si="162"/>
        <v>1</v>
      </c>
      <c r="H211" s="59" t="s">
        <v>71</v>
      </c>
      <c r="I211" s="131">
        <f>0.25*8.17</f>
        <v>2.0425</v>
      </c>
      <c r="J211" s="132">
        <f t="shared" si="163"/>
        <v>2.0425</v>
      </c>
      <c r="K211" s="133">
        <f>'LABOR SHEET'!C$3</f>
        <v>128</v>
      </c>
      <c r="L211" s="134">
        <f t="shared" si="164"/>
        <v>261.44</v>
      </c>
      <c r="M211" s="134">
        <f t="shared" si="165"/>
        <v>261.44</v>
      </c>
      <c r="N211" s="134">
        <f>60*8.17</f>
        <v>490.2</v>
      </c>
      <c r="O211" s="134">
        <f t="shared" si="166"/>
        <v>490.2</v>
      </c>
      <c r="P211" s="134">
        <f t="shared" si="167"/>
        <v>751.64</v>
      </c>
      <c r="Q211" s="164">
        <f t="shared" si="168"/>
        <v>751.64</v>
      </c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</row>
    <row r="212" spans="1:36" s="30" customFormat="1" ht="46.8">
      <c r="A212" s="83">
        <f>IF(F212&lt;&gt;"",1+MAX($A$2:A211),"")</f>
        <v>167</v>
      </c>
      <c r="B212" s="84"/>
      <c r="C212" s="85"/>
      <c r="D212" s="58" t="s">
        <v>221</v>
      </c>
      <c r="E212" s="61">
        <v>1</v>
      </c>
      <c r="F212" s="60">
        <v>0</v>
      </c>
      <c r="G212" s="55">
        <f t="shared" si="162"/>
        <v>1</v>
      </c>
      <c r="H212" s="59" t="s">
        <v>71</v>
      </c>
      <c r="I212" s="131">
        <f>0.25*11.25</f>
        <v>2.8125</v>
      </c>
      <c r="J212" s="132">
        <f t="shared" si="163"/>
        <v>2.8125</v>
      </c>
      <c r="K212" s="133">
        <f>'LABOR SHEET'!C$3</f>
        <v>128</v>
      </c>
      <c r="L212" s="134">
        <f t="shared" si="164"/>
        <v>360</v>
      </c>
      <c r="M212" s="134">
        <f t="shared" si="165"/>
        <v>360</v>
      </c>
      <c r="N212" s="134">
        <f>60*11.25</f>
        <v>675</v>
      </c>
      <c r="O212" s="134">
        <f t="shared" si="166"/>
        <v>675</v>
      </c>
      <c r="P212" s="134">
        <f t="shared" si="167"/>
        <v>1035</v>
      </c>
      <c r="Q212" s="164">
        <f t="shared" si="168"/>
        <v>1035</v>
      </c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</row>
    <row r="213" spans="1:36" s="30" customFormat="1" ht="46.8">
      <c r="A213" s="83">
        <f>IF(F213&lt;&gt;"",1+MAX($A$2:A212),"")</f>
        <v>168</v>
      </c>
      <c r="B213" s="84"/>
      <c r="C213" s="85"/>
      <c r="D213" s="58" t="s">
        <v>222</v>
      </c>
      <c r="E213" s="61">
        <v>1</v>
      </c>
      <c r="F213" s="60">
        <v>0</v>
      </c>
      <c r="G213" s="55">
        <f t="shared" si="162"/>
        <v>1</v>
      </c>
      <c r="H213" s="59" t="s">
        <v>71</v>
      </c>
      <c r="I213" s="131">
        <f>0.25*12</f>
        <v>3</v>
      </c>
      <c r="J213" s="132">
        <f t="shared" si="163"/>
        <v>3</v>
      </c>
      <c r="K213" s="133">
        <f>'LABOR SHEET'!C$3</f>
        <v>128</v>
      </c>
      <c r="L213" s="134">
        <f t="shared" si="164"/>
        <v>384</v>
      </c>
      <c r="M213" s="134">
        <f t="shared" si="165"/>
        <v>384</v>
      </c>
      <c r="N213" s="134">
        <f>60*12</f>
        <v>720</v>
      </c>
      <c r="O213" s="134">
        <f t="shared" si="166"/>
        <v>720</v>
      </c>
      <c r="P213" s="134">
        <f t="shared" si="167"/>
        <v>1104</v>
      </c>
      <c r="Q213" s="164">
        <f t="shared" si="168"/>
        <v>1104</v>
      </c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7"/>
    </row>
    <row r="214" spans="1:36" s="30" customFormat="1" ht="46.8">
      <c r="A214" s="83">
        <f>IF(F214&lt;&gt;"",1+MAX($A$2:A213),"")</f>
        <v>169</v>
      </c>
      <c r="B214" s="84"/>
      <c r="C214" s="85"/>
      <c r="D214" s="58" t="s">
        <v>223</v>
      </c>
      <c r="E214" s="61">
        <v>1</v>
      </c>
      <c r="F214" s="60">
        <v>0</v>
      </c>
      <c r="G214" s="55">
        <f t="shared" si="162"/>
        <v>1</v>
      </c>
      <c r="H214" s="59" t="s">
        <v>71</v>
      </c>
      <c r="I214" s="131">
        <f>0.25*13.58</f>
        <v>3.395</v>
      </c>
      <c r="J214" s="132">
        <f t="shared" si="163"/>
        <v>3.395</v>
      </c>
      <c r="K214" s="133">
        <f>'LABOR SHEET'!C$3</f>
        <v>128</v>
      </c>
      <c r="L214" s="134">
        <f t="shared" si="164"/>
        <v>434.56</v>
      </c>
      <c r="M214" s="134">
        <f t="shared" si="165"/>
        <v>434.56</v>
      </c>
      <c r="N214" s="134">
        <f>60*13.58</f>
        <v>814.8</v>
      </c>
      <c r="O214" s="134">
        <f t="shared" si="166"/>
        <v>814.8</v>
      </c>
      <c r="P214" s="134">
        <f t="shared" si="167"/>
        <v>1249.3599999999999</v>
      </c>
      <c r="Q214" s="164">
        <f t="shared" si="168"/>
        <v>1249.3599999999999</v>
      </c>
      <c r="R214" s="167"/>
      <c r="S214" s="167"/>
      <c r="T214" s="167"/>
      <c r="U214" s="167"/>
      <c r="V214" s="167"/>
      <c r="W214" s="167"/>
      <c r="X214" s="167"/>
      <c r="Y214" s="167"/>
      <c r="Z214" s="167"/>
      <c r="AA214" s="167"/>
      <c r="AB214" s="167"/>
      <c r="AC214" s="167"/>
      <c r="AD214" s="167"/>
      <c r="AE214" s="167"/>
      <c r="AF214" s="167"/>
      <c r="AG214" s="167"/>
      <c r="AH214" s="167"/>
      <c r="AI214" s="167"/>
      <c r="AJ214" s="167"/>
    </row>
    <row r="215" spans="1:36" s="30" customFormat="1" ht="46.8">
      <c r="A215" s="83">
        <f>IF(F215&lt;&gt;"",1+MAX($A$2:A214),"")</f>
        <v>170</v>
      </c>
      <c r="B215" s="84"/>
      <c r="C215" s="85"/>
      <c r="D215" s="58" t="s">
        <v>224</v>
      </c>
      <c r="E215" s="61">
        <v>1</v>
      </c>
      <c r="F215" s="60">
        <v>0</v>
      </c>
      <c r="G215" s="55">
        <f t="shared" si="162"/>
        <v>1</v>
      </c>
      <c r="H215" s="59" t="s">
        <v>71</v>
      </c>
      <c r="I215" s="131">
        <f>0.25*16</f>
        <v>4</v>
      </c>
      <c r="J215" s="132">
        <f t="shared" si="163"/>
        <v>4</v>
      </c>
      <c r="K215" s="133">
        <f>'LABOR SHEET'!C$3</f>
        <v>128</v>
      </c>
      <c r="L215" s="134">
        <f t="shared" si="164"/>
        <v>512</v>
      </c>
      <c r="M215" s="134">
        <f t="shared" si="165"/>
        <v>512</v>
      </c>
      <c r="N215" s="134">
        <f>60*16</f>
        <v>960</v>
      </c>
      <c r="O215" s="134">
        <f t="shared" si="166"/>
        <v>960</v>
      </c>
      <c r="P215" s="134">
        <f t="shared" si="167"/>
        <v>1472</v>
      </c>
      <c r="Q215" s="164">
        <f t="shared" si="168"/>
        <v>1472</v>
      </c>
      <c r="R215" s="167"/>
      <c r="S215" s="167"/>
      <c r="T215" s="167"/>
      <c r="U215" s="167"/>
      <c r="V215" s="167"/>
      <c r="W215" s="167"/>
      <c r="X215" s="167"/>
      <c r="Y215" s="167"/>
      <c r="Z215" s="167"/>
      <c r="AA215" s="167"/>
      <c r="AB215" s="167"/>
      <c r="AC215" s="167"/>
      <c r="AD215" s="167"/>
      <c r="AE215" s="167"/>
      <c r="AF215" s="167"/>
      <c r="AG215" s="167"/>
      <c r="AH215" s="167"/>
      <c r="AI215" s="167"/>
      <c r="AJ215" s="167"/>
    </row>
    <row r="216" spans="1:36" s="30" customFormat="1" ht="46.8">
      <c r="A216" s="83">
        <f>IF(F216&lt;&gt;"",1+MAX($A$2:A215),"")</f>
        <v>171</v>
      </c>
      <c r="B216" s="84"/>
      <c r="C216" s="85"/>
      <c r="D216" s="58" t="s">
        <v>225</v>
      </c>
      <c r="E216" s="61">
        <v>2</v>
      </c>
      <c r="F216" s="60">
        <v>0</v>
      </c>
      <c r="G216" s="55">
        <f t="shared" si="162"/>
        <v>2</v>
      </c>
      <c r="H216" s="59" t="s">
        <v>71</v>
      </c>
      <c r="I216" s="131">
        <f>0.3*13</f>
        <v>3.9</v>
      </c>
      <c r="J216" s="132">
        <f t="shared" si="163"/>
        <v>7.8</v>
      </c>
      <c r="K216" s="133">
        <f>'LABOR SHEET'!C$3</f>
        <v>128</v>
      </c>
      <c r="L216" s="134">
        <f t="shared" si="164"/>
        <v>499.2</v>
      </c>
      <c r="M216" s="134">
        <f t="shared" si="165"/>
        <v>998.4</v>
      </c>
      <c r="N216" s="134">
        <f>136.88*13</f>
        <v>1779.44</v>
      </c>
      <c r="O216" s="134">
        <f t="shared" si="166"/>
        <v>3558.88</v>
      </c>
      <c r="P216" s="134">
        <f t="shared" si="167"/>
        <v>2278.64</v>
      </c>
      <c r="Q216" s="164">
        <f t="shared" si="168"/>
        <v>4557.28</v>
      </c>
      <c r="R216" s="167"/>
      <c r="S216" s="167"/>
      <c r="T216" s="167"/>
      <c r="U216" s="167"/>
      <c r="V216" s="167"/>
      <c r="W216" s="167"/>
      <c r="X216" s="167"/>
      <c r="Y216" s="167"/>
      <c r="Z216" s="167"/>
      <c r="AA216" s="167"/>
      <c r="AB216" s="167"/>
      <c r="AC216" s="167"/>
      <c r="AD216" s="167"/>
      <c r="AE216" s="167"/>
      <c r="AF216" s="167"/>
      <c r="AG216" s="167"/>
      <c r="AH216" s="167"/>
      <c r="AI216" s="167"/>
      <c r="AJ216" s="167"/>
    </row>
    <row r="217" spans="1:36" s="30" customFormat="1" ht="46.8">
      <c r="A217" s="83">
        <f>IF(F217&lt;&gt;"",1+MAX($A$2:A216),"")</f>
        <v>172</v>
      </c>
      <c r="B217" s="84"/>
      <c r="C217" s="85"/>
      <c r="D217" s="58" t="s">
        <v>226</v>
      </c>
      <c r="E217" s="61">
        <v>1</v>
      </c>
      <c r="F217" s="60">
        <v>0</v>
      </c>
      <c r="G217" s="55">
        <f t="shared" si="162"/>
        <v>1</v>
      </c>
      <c r="H217" s="59" t="s">
        <v>71</v>
      </c>
      <c r="I217" s="131">
        <f>0.3*28.75</f>
        <v>8.625</v>
      </c>
      <c r="J217" s="132">
        <f t="shared" si="163"/>
        <v>8.625</v>
      </c>
      <c r="K217" s="133">
        <f>'LABOR SHEET'!C$3</f>
        <v>128</v>
      </c>
      <c r="L217" s="134">
        <f t="shared" si="164"/>
        <v>1104</v>
      </c>
      <c r="M217" s="134">
        <f t="shared" si="165"/>
        <v>1104</v>
      </c>
      <c r="N217" s="134">
        <f>136.88*28.75</f>
        <v>3935.3</v>
      </c>
      <c r="O217" s="134">
        <f t="shared" si="166"/>
        <v>3935.3</v>
      </c>
      <c r="P217" s="134">
        <f t="shared" si="167"/>
        <v>5039.3</v>
      </c>
      <c r="Q217" s="164">
        <f t="shared" si="168"/>
        <v>5039.3</v>
      </c>
      <c r="R217" s="167"/>
      <c r="S217" s="167"/>
      <c r="T217" s="167"/>
      <c r="U217" s="167"/>
      <c r="V217" s="167"/>
      <c r="W217" s="167"/>
      <c r="X217" s="167"/>
      <c r="Y217" s="167"/>
      <c r="Z217" s="167"/>
      <c r="AA217" s="167"/>
      <c r="AB217" s="167"/>
      <c r="AC217" s="167"/>
      <c r="AD217" s="167"/>
      <c r="AE217" s="167"/>
      <c r="AF217" s="167"/>
      <c r="AG217" s="167"/>
      <c r="AH217" s="167"/>
      <c r="AI217" s="167"/>
      <c r="AJ217" s="167"/>
    </row>
    <row r="218" spans="1:36" s="30" customFormat="1" ht="46.8">
      <c r="A218" s="83">
        <f>IF(F218&lt;&gt;"",1+MAX($A$2:A217),"")</f>
        <v>173</v>
      </c>
      <c r="B218" s="84"/>
      <c r="C218" s="85"/>
      <c r="D218" s="58" t="s">
        <v>227</v>
      </c>
      <c r="E218" s="61">
        <v>1</v>
      </c>
      <c r="F218" s="60">
        <v>0</v>
      </c>
      <c r="G218" s="55">
        <f t="shared" si="162"/>
        <v>1</v>
      </c>
      <c r="H218" s="59" t="s">
        <v>71</v>
      </c>
      <c r="I218" s="131">
        <f>0.3*17</f>
        <v>5.0999999999999996</v>
      </c>
      <c r="J218" s="132">
        <f t="shared" si="163"/>
        <v>5.0999999999999996</v>
      </c>
      <c r="K218" s="133">
        <f>'LABOR SHEET'!C$3</f>
        <v>128</v>
      </c>
      <c r="L218" s="134">
        <f t="shared" si="164"/>
        <v>652.79999999999995</v>
      </c>
      <c r="M218" s="134">
        <f t="shared" si="165"/>
        <v>652.79999999999995</v>
      </c>
      <c r="N218" s="134">
        <f>136.88*17</f>
        <v>2326.96</v>
      </c>
      <c r="O218" s="134">
        <f t="shared" si="166"/>
        <v>2326.96</v>
      </c>
      <c r="P218" s="134">
        <f t="shared" si="167"/>
        <v>2979.76</v>
      </c>
      <c r="Q218" s="164">
        <f t="shared" si="168"/>
        <v>2979.76</v>
      </c>
      <c r="R218" s="167"/>
      <c r="S218" s="167"/>
      <c r="T218" s="167"/>
      <c r="U218" s="167"/>
      <c r="V218" s="167"/>
      <c r="W218" s="167"/>
      <c r="X218" s="167"/>
      <c r="Y218" s="167"/>
      <c r="Z218" s="167"/>
      <c r="AA218" s="167"/>
      <c r="AB218" s="167"/>
      <c r="AC218" s="167"/>
      <c r="AD218" s="167"/>
      <c r="AE218" s="167"/>
      <c r="AF218" s="167"/>
      <c r="AG218" s="167"/>
      <c r="AH218" s="167"/>
      <c r="AI218" s="167"/>
      <c r="AJ218" s="167"/>
    </row>
    <row r="219" spans="1:36" s="30" customFormat="1" ht="46.8">
      <c r="A219" s="83">
        <f>IF(F219&lt;&gt;"",1+MAX($A$2:A218),"")</f>
        <v>174</v>
      </c>
      <c r="B219" s="84"/>
      <c r="C219" s="85"/>
      <c r="D219" s="58" t="s">
        <v>228</v>
      </c>
      <c r="E219" s="61">
        <v>28</v>
      </c>
      <c r="F219" s="60">
        <v>0</v>
      </c>
      <c r="G219" s="55">
        <f t="shared" si="162"/>
        <v>28</v>
      </c>
      <c r="H219" s="59" t="s">
        <v>71</v>
      </c>
      <c r="I219" s="131">
        <v>2</v>
      </c>
      <c r="J219" s="132">
        <f t="shared" si="163"/>
        <v>56</v>
      </c>
      <c r="K219" s="133">
        <f>'LABOR SHEET'!C$3</f>
        <v>128</v>
      </c>
      <c r="L219" s="134">
        <f t="shared" si="164"/>
        <v>256</v>
      </c>
      <c r="M219" s="134">
        <f t="shared" si="165"/>
        <v>7168</v>
      </c>
      <c r="N219" s="134">
        <v>428.95</v>
      </c>
      <c r="O219" s="134">
        <f t="shared" si="166"/>
        <v>12010.6</v>
      </c>
      <c r="P219" s="134">
        <f t="shared" si="167"/>
        <v>684.95</v>
      </c>
      <c r="Q219" s="164">
        <f t="shared" si="168"/>
        <v>19178.599999999999</v>
      </c>
      <c r="R219" s="167"/>
      <c r="S219" s="167"/>
      <c r="T219" s="167"/>
      <c r="U219" s="167"/>
      <c r="V219" s="167"/>
      <c r="W219" s="167"/>
      <c r="X219" s="167"/>
      <c r="Y219" s="167"/>
      <c r="Z219" s="167"/>
      <c r="AA219" s="167"/>
      <c r="AB219" s="167"/>
      <c r="AC219" s="167"/>
      <c r="AD219" s="167"/>
      <c r="AE219" s="167"/>
      <c r="AF219" s="167"/>
      <c r="AG219" s="167"/>
      <c r="AH219" s="167"/>
      <c r="AI219" s="167"/>
      <c r="AJ219" s="167"/>
    </row>
    <row r="220" spans="1:36" s="30" customFormat="1" ht="46.8">
      <c r="A220" s="83">
        <f>IF(F220&lt;&gt;"",1+MAX($A$2:A219),"")</f>
        <v>175</v>
      </c>
      <c r="B220" s="84"/>
      <c r="C220" s="85"/>
      <c r="D220" s="58" t="s">
        <v>229</v>
      </c>
      <c r="E220" s="61">
        <v>3</v>
      </c>
      <c r="F220" s="60">
        <v>0</v>
      </c>
      <c r="G220" s="55">
        <f t="shared" si="162"/>
        <v>3</v>
      </c>
      <c r="H220" s="59" t="s">
        <v>71</v>
      </c>
      <c r="I220" s="131">
        <v>0.7</v>
      </c>
      <c r="J220" s="132">
        <f t="shared" ref="J220" si="181">+I220*G220</f>
        <v>2.1</v>
      </c>
      <c r="K220" s="133">
        <f>'LABOR SHEET'!C$3</f>
        <v>128</v>
      </c>
      <c r="L220" s="134">
        <f t="shared" ref="L220" si="182">I220*K220</f>
        <v>89.6</v>
      </c>
      <c r="M220" s="134">
        <f t="shared" ref="M220" si="183">K220*J220</f>
        <v>268.8</v>
      </c>
      <c r="N220" s="134">
        <v>166.62</v>
      </c>
      <c r="O220" s="134">
        <f t="shared" ref="O220" si="184">N220*G220</f>
        <v>499.86</v>
      </c>
      <c r="P220" s="134">
        <f t="shared" ref="P220" si="185">(I220*K220)+N220</f>
        <v>256.22000000000003</v>
      </c>
      <c r="Q220" s="164">
        <f t="shared" ref="Q220" si="186">P220*G220</f>
        <v>768.66</v>
      </c>
      <c r="R220" s="167"/>
      <c r="S220" s="167"/>
      <c r="T220" s="167"/>
      <c r="U220" s="167"/>
      <c r="V220" s="167"/>
      <c r="W220" s="167"/>
      <c r="X220" s="167"/>
      <c r="Y220" s="167"/>
      <c r="Z220" s="167"/>
      <c r="AA220" s="167"/>
      <c r="AB220" s="167"/>
      <c r="AC220" s="167"/>
      <c r="AD220" s="167"/>
      <c r="AE220" s="167"/>
      <c r="AF220" s="167"/>
      <c r="AG220" s="167"/>
      <c r="AH220" s="167"/>
      <c r="AI220" s="167"/>
      <c r="AJ220" s="167"/>
    </row>
    <row r="221" spans="1:36" s="30" customFormat="1" ht="46.8">
      <c r="A221" s="83">
        <f>IF(F221&lt;&gt;"",1+MAX($A$2:A220),"")</f>
        <v>176</v>
      </c>
      <c r="B221" s="84"/>
      <c r="C221" s="85"/>
      <c r="D221" s="58" t="s">
        <v>230</v>
      </c>
      <c r="E221" s="61">
        <v>1</v>
      </c>
      <c r="F221" s="60">
        <v>0</v>
      </c>
      <c r="G221" s="55">
        <f t="shared" si="162"/>
        <v>1</v>
      </c>
      <c r="H221" s="59" t="s">
        <v>71</v>
      </c>
      <c r="I221" s="131">
        <f>0.2*11.417</f>
        <v>2.2833999999999999</v>
      </c>
      <c r="J221" s="132">
        <f t="shared" si="163"/>
        <v>2.2833999999999999</v>
      </c>
      <c r="K221" s="133">
        <f>'LABOR SHEET'!C$3</f>
        <v>128</v>
      </c>
      <c r="L221" s="134">
        <f t="shared" si="164"/>
        <v>292.27519999999998</v>
      </c>
      <c r="M221" s="134">
        <f t="shared" si="165"/>
        <v>292.27519999999998</v>
      </c>
      <c r="N221" s="134">
        <f>132*11.417</f>
        <v>1507.0440000000001</v>
      </c>
      <c r="O221" s="134">
        <f t="shared" si="166"/>
        <v>1507.0440000000001</v>
      </c>
      <c r="P221" s="134">
        <f t="shared" si="167"/>
        <v>1799.3191999999999</v>
      </c>
      <c r="Q221" s="164">
        <f t="shared" si="168"/>
        <v>1799.3191999999999</v>
      </c>
      <c r="R221" s="167"/>
      <c r="S221" s="167"/>
      <c r="T221" s="167"/>
      <c r="U221" s="167"/>
      <c r="V221" s="167"/>
      <c r="W221" s="167"/>
      <c r="X221" s="167"/>
      <c r="Y221" s="167"/>
      <c r="Z221" s="167"/>
      <c r="AA221" s="167"/>
      <c r="AB221" s="167"/>
      <c r="AC221" s="167"/>
      <c r="AD221" s="167"/>
      <c r="AE221" s="167"/>
      <c r="AF221" s="167"/>
      <c r="AG221" s="167"/>
      <c r="AH221" s="167"/>
      <c r="AI221" s="167"/>
      <c r="AJ221" s="167"/>
    </row>
    <row r="222" spans="1:36" s="30" customFormat="1" ht="46.8">
      <c r="A222" s="83">
        <f>IF(F222&lt;&gt;"",1+MAX($A$2:A221),"")</f>
        <v>177</v>
      </c>
      <c r="B222" s="84"/>
      <c r="C222" s="85"/>
      <c r="D222" s="58" t="s">
        <v>231</v>
      </c>
      <c r="E222" s="61">
        <v>2</v>
      </c>
      <c r="F222" s="60">
        <v>0</v>
      </c>
      <c r="G222" s="55">
        <f t="shared" si="162"/>
        <v>2</v>
      </c>
      <c r="H222" s="59" t="s">
        <v>71</v>
      </c>
      <c r="I222" s="131">
        <f>0.2*13.417</f>
        <v>2.6833999999999998</v>
      </c>
      <c r="J222" s="132">
        <f t="shared" si="163"/>
        <v>5.3667999999999996</v>
      </c>
      <c r="K222" s="133">
        <f>'LABOR SHEET'!C$3</f>
        <v>128</v>
      </c>
      <c r="L222" s="134">
        <f t="shared" si="164"/>
        <v>343.47519999999997</v>
      </c>
      <c r="M222" s="134">
        <f t="shared" si="165"/>
        <v>686.95039999999995</v>
      </c>
      <c r="N222" s="134">
        <f>132*13.417</f>
        <v>1771.0440000000001</v>
      </c>
      <c r="O222" s="134">
        <f t="shared" si="166"/>
        <v>3542.0880000000002</v>
      </c>
      <c r="P222" s="134">
        <f t="shared" si="167"/>
        <v>2114.5192000000002</v>
      </c>
      <c r="Q222" s="164">
        <f t="shared" si="168"/>
        <v>4229.0384000000004</v>
      </c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</row>
    <row r="223" spans="1:36" s="30" customFormat="1" ht="46.8">
      <c r="A223" s="83">
        <f>IF(F223&lt;&gt;"",1+MAX($A$2:A222),"")</f>
        <v>178</v>
      </c>
      <c r="B223" s="84"/>
      <c r="C223" s="85"/>
      <c r="D223" s="58" t="s">
        <v>232</v>
      </c>
      <c r="E223" s="61">
        <v>3</v>
      </c>
      <c r="F223" s="60">
        <v>0</v>
      </c>
      <c r="G223" s="55">
        <f t="shared" si="162"/>
        <v>3</v>
      </c>
      <c r="H223" s="59" t="s">
        <v>71</v>
      </c>
      <c r="I223" s="131">
        <v>5</v>
      </c>
      <c r="J223" s="132">
        <f t="shared" si="163"/>
        <v>15</v>
      </c>
      <c r="K223" s="133">
        <f>'LABOR SHEET'!C$3</f>
        <v>128</v>
      </c>
      <c r="L223" s="134">
        <f t="shared" si="164"/>
        <v>640</v>
      </c>
      <c r="M223" s="134">
        <f t="shared" si="165"/>
        <v>1920</v>
      </c>
      <c r="N223" s="134">
        <v>2500</v>
      </c>
      <c r="O223" s="134">
        <f t="shared" si="166"/>
        <v>7500</v>
      </c>
      <c r="P223" s="134">
        <f t="shared" si="167"/>
        <v>3140</v>
      </c>
      <c r="Q223" s="164">
        <f t="shared" si="168"/>
        <v>9420</v>
      </c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</row>
    <row r="224" spans="1:36" s="30" customFormat="1" ht="46.8">
      <c r="A224" s="83">
        <f>IF(F224&lt;&gt;"",1+MAX($A$2:A223),"")</f>
        <v>179</v>
      </c>
      <c r="B224" s="84"/>
      <c r="C224" s="85"/>
      <c r="D224" s="58" t="s">
        <v>233</v>
      </c>
      <c r="E224" s="61">
        <v>1</v>
      </c>
      <c r="F224" s="60">
        <v>0</v>
      </c>
      <c r="G224" s="55">
        <f t="shared" si="162"/>
        <v>1</v>
      </c>
      <c r="H224" s="59" t="s">
        <v>71</v>
      </c>
      <c r="I224" s="131">
        <v>5.5</v>
      </c>
      <c r="J224" s="132">
        <f t="shared" si="163"/>
        <v>5.5</v>
      </c>
      <c r="K224" s="133">
        <f>'LABOR SHEET'!C$3</f>
        <v>128</v>
      </c>
      <c r="L224" s="134">
        <f t="shared" si="164"/>
        <v>704</v>
      </c>
      <c r="M224" s="134">
        <f t="shared" si="165"/>
        <v>704</v>
      </c>
      <c r="N224" s="134">
        <v>3250</v>
      </c>
      <c r="O224" s="134">
        <f t="shared" si="166"/>
        <v>3250</v>
      </c>
      <c r="P224" s="134">
        <f t="shared" si="167"/>
        <v>3954</v>
      </c>
      <c r="Q224" s="164">
        <f t="shared" si="168"/>
        <v>3954</v>
      </c>
      <c r="R224" s="167"/>
      <c r="S224" s="167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/>
      <c r="AJ224" s="167"/>
    </row>
    <row r="225" spans="1:36" s="30" customFormat="1" ht="46.8">
      <c r="A225" s="83">
        <f>IF(F225&lt;&gt;"",1+MAX($A$2:A224),"")</f>
        <v>180</v>
      </c>
      <c r="B225" s="84"/>
      <c r="C225" s="85"/>
      <c r="D225" s="58" t="s">
        <v>234</v>
      </c>
      <c r="E225" s="61">
        <v>6</v>
      </c>
      <c r="F225" s="60">
        <v>0</v>
      </c>
      <c r="G225" s="55">
        <f t="shared" si="162"/>
        <v>6</v>
      </c>
      <c r="H225" s="59" t="s">
        <v>71</v>
      </c>
      <c r="I225" s="131">
        <v>2.5</v>
      </c>
      <c r="J225" s="132">
        <f t="shared" si="163"/>
        <v>15</v>
      </c>
      <c r="K225" s="133">
        <f>'LABOR SHEET'!C$3</f>
        <v>128</v>
      </c>
      <c r="L225" s="134">
        <f t="shared" si="164"/>
        <v>320</v>
      </c>
      <c r="M225" s="134">
        <f t="shared" si="165"/>
        <v>1920</v>
      </c>
      <c r="N225" s="134">
        <v>463</v>
      </c>
      <c r="O225" s="134">
        <f t="shared" si="166"/>
        <v>2778</v>
      </c>
      <c r="P225" s="134">
        <f t="shared" si="167"/>
        <v>783</v>
      </c>
      <c r="Q225" s="164">
        <f t="shared" si="168"/>
        <v>4698</v>
      </c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</row>
    <row r="226" spans="1:36" s="30" customFormat="1" ht="46.8">
      <c r="A226" s="83">
        <f>IF(F226&lt;&gt;"",1+MAX($A$2:A225),"")</f>
        <v>181</v>
      </c>
      <c r="B226" s="84"/>
      <c r="C226" s="85"/>
      <c r="D226" s="58" t="s">
        <v>235</v>
      </c>
      <c r="E226" s="61">
        <v>1</v>
      </c>
      <c r="F226" s="60">
        <v>0</v>
      </c>
      <c r="G226" s="55">
        <f t="shared" si="162"/>
        <v>1</v>
      </c>
      <c r="H226" s="59" t="s">
        <v>71</v>
      </c>
      <c r="I226" s="131">
        <f>0.25*13</f>
        <v>3.25</v>
      </c>
      <c r="J226" s="132">
        <f t="shared" si="163"/>
        <v>3.25</v>
      </c>
      <c r="K226" s="133">
        <f>'LABOR SHEET'!C$3</f>
        <v>128</v>
      </c>
      <c r="L226" s="134">
        <f t="shared" si="164"/>
        <v>416</v>
      </c>
      <c r="M226" s="134">
        <f t="shared" si="165"/>
        <v>416</v>
      </c>
      <c r="N226" s="134">
        <f>140*13</f>
        <v>1820</v>
      </c>
      <c r="O226" s="134">
        <f t="shared" si="166"/>
        <v>1820</v>
      </c>
      <c r="P226" s="134">
        <f t="shared" si="167"/>
        <v>2236</v>
      </c>
      <c r="Q226" s="164">
        <f t="shared" si="168"/>
        <v>2236</v>
      </c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</row>
    <row r="227" spans="1:36" s="30" customFormat="1" ht="46.8">
      <c r="A227" s="83">
        <f>IF(F227&lt;&gt;"",1+MAX($A$2:A226),"")</f>
        <v>182</v>
      </c>
      <c r="B227" s="84"/>
      <c r="C227" s="85"/>
      <c r="D227" s="58" t="s">
        <v>236</v>
      </c>
      <c r="E227" s="61">
        <v>1</v>
      </c>
      <c r="F227" s="60">
        <v>0</v>
      </c>
      <c r="G227" s="55">
        <f t="shared" si="162"/>
        <v>1</v>
      </c>
      <c r="H227" s="59" t="s">
        <v>71</v>
      </c>
      <c r="I227" s="131">
        <f>0.25*14</f>
        <v>3.5</v>
      </c>
      <c r="J227" s="132">
        <f t="shared" si="163"/>
        <v>3.5</v>
      </c>
      <c r="K227" s="133">
        <f>'LABOR SHEET'!C$3</f>
        <v>128</v>
      </c>
      <c r="L227" s="134">
        <f t="shared" si="164"/>
        <v>448</v>
      </c>
      <c r="M227" s="134">
        <f t="shared" si="165"/>
        <v>448</v>
      </c>
      <c r="N227" s="134">
        <f>140*14</f>
        <v>1960</v>
      </c>
      <c r="O227" s="134">
        <f t="shared" si="166"/>
        <v>1960</v>
      </c>
      <c r="P227" s="134">
        <f t="shared" si="167"/>
        <v>2408</v>
      </c>
      <c r="Q227" s="164">
        <f t="shared" si="168"/>
        <v>2408</v>
      </c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</row>
    <row r="228" spans="1:36" s="30" customFormat="1" ht="46.8">
      <c r="A228" s="83">
        <f>IF(F228&lt;&gt;"",1+MAX($A$2:A227),"")</f>
        <v>183</v>
      </c>
      <c r="B228" s="84"/>
      <c r="C228" s="85"/>
      <c r="D228" s="58" t="s">
        <v>237</v>
      </c>
      <c r="E228" s="61">
        <v>1</v>
      </c>
      <c r="F228" s="60">
        <v>0</v>
      </c>
      <c r="G228" s="55">
        <f t="shared" si="162"/>
        <v>1</v>
      </c>
      <c r="H228" s="59" t="s">
        <v>71</v>
      </c>
      <c r="I228" s="131">
        <f>0.25*14</f>
        <v>3.5</v>
      </c>
      <c r="J228" s="132">
        <f t="shared" si="163"/>
        <v>3.5</v>
      </c>
      <c r="K228" s="133">
        <f>'LABOR SHEET'!C$3</f>
        <v>128</v>
      </c>
      <c r="L228" s="134">
        <f t="shared" si="164"/>
        <v>448</v>
      </c>
      <c r="M228" s="134">
        <f t="shared" si="165"/>
        <v>448</v>
      </c>
      <c r="N228" s="134">
        <f>140*14</f>
        <v>1960</v>
      </c>
      <c r="O228" s="134">
        <f t="shared" si="166"/>
        <v>1960</v>
      </c>
      <c r="P228" s="134">
        <f t="shared" si="167"/>
        <v>2408</v>
      </c>
      <c r="Q228" s="164">
        <f t="shared" si="168"/>
        <v>2408</v>
      </c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</row>
    <row r="229" spans="1:36" s="30" customFormat="1" ht="46.8">
      <c r="A229" s="83">
        <f>IF(F229&lt;&gt;"",1+MAX($A$2:A228),"")</f>
        <v>184</v>
      </c>
      <c r="B229" s="84"/>
      <c r="C229" s="85"/>
      <c r="D229" s="58" t="s">
        <v>238</v>
      </c>
      <c r="E229" s="61">
        <v>1</v>
      </c>
      <c r="F229" s="60">
        <v>0</v>
      </c>
      <c r="G229" s="55">
        <f t="shared" si="162"/>
        <v>1</v>
      </c>
      <c r="H229" s="59" t="s">
        <v>71</v>
      </c>
      <c r="I229" s="131">
        <f>0.25*17</f>
        <v>4.25</v>
      </c>
      <c r="J229" s="132">
        <f t="shared" si="163"/>
        <v>4.25</v>
      </c>
      <c r="K229" s="133">
        <f>'LABOR SHEET'!C$3</f>
        <v>128</v>
      </c>
      <c r="L229" s="134">
        <f t="shared" si="164"/>
        <v>544</v>
      </c>
      <c r="M229" s="134">
        <f t="shared" si="165"/>
        <v>544</v>
      </c>
      <c r="N229" s="134">
        <f>140*17</f>
        <v>2380</v>
      </c>
      <c r="O229" s="134">
        <f t="shared" si="166"/>
        <v>2380</v>
      </c>
      <c r="P229" s="134">
        <f t="shared" si="167"/>
        <v>2924</v>
      </c>
      <c r="Q229" s="164">
        <f t="shared" si="168"/>
        <v>2924</v>
      </c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</row>
    <row r="230" spans="1:36" s="30" customFormat="1" ht="46.8">
      <c r="A230" s="83">
        <f>IF(F230&lt;&gt;"",1+MAX($A$2:A229),"")</f>
        <v>185</v>
      </c>
      <c r="B230" s="84"/>
      <c r="C230" s="85"/>
      <c r="D230" s="58" t="s">
        <v>239</v>
      </c>
      <c r="E230" s="61">
        <v>1</v>
      </c>
      <c r="F230" s="60">
        <v>0</v>
      </c>
      <c r="G230" s="55">
        <f t="shared" si="162"/>
        <v>1</v>
      </c>
      <c r="H230" s="59" t="s">
        <v>71</v>
      </c>
      <c r="I230" s="131">
        <f>0.25*5.25</f>
        <v>1.3125</v>
      </c>
      <c r="J230" s="132">
        <f t="shared" si="163"/>
        <v>1.3125</v>
      </c>
      <c r="K230" s="133">
        <f>'LABOR SHEET'!C$3</f>
        <v>128</v>
      </c>
      <c r="L230" s="134">
        <f t="shared" si="164"/>
        <v>168</v>
      </c>
      <c r="M230" s="134">
        <f t="shared" si="165"/>
        <v>168</v>
      </c>
      <c r="N230" s="134">
        <f>140*5.25</f>
        <v>735</v>
      </c>
      <c r="O230" s="134">
        <f t="shared" si="166"/>
        <v>735</v>
      </c>
      <c r="P230" s="134">
        <f t="shared" si="167"/>
        <v>903</v>
      </c>
      <c r="Q230" s="164">
        <f t="shared" si="168"/>
        <v>903</v>
      </c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</row>
    <row r="231" spans="1:36" s="30" customFormat="1">
      <c r="A231" s="83" t="str">
        <f>IF(F231&lt;&gt;"",1+MAX($A$2:A230),"")</f>
        <v/>
      </c>
      <c r="B231" s="84"/>
      <c r="C231" s="85"/>
      <c r="D231" s="58"/>
      <c r="E231" s="61"/>
      <c r="F231" s="86"/>
      <c r="G231" s="87"/>
      <c r="H231" s="59"/>
      <c r="I231" s="131"/>
      <c r="J231" s="132"/>
      <c r="K231" s="133"/>
      <c r="L231" s="134"/>
      <c r="M231" s="134"/>
      <c r="N231" s="134"/>
      <c r="O231" s="134"/>
      <c r="P231" s="134"/>
      <c r="Q231" s="165"/>
      <c r="R231" s="167"/>
      <c r="S231" s="167"/>
      <c r="T231" s="167"/>
      <c r="U231" s="167"/>
      <c r="V231" s="167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7"/>
    </row>
    <row r="232" spans="1:36" s="30" customFormat="1">
      <c r="A232" s="83" t="str">
        <f>IF(F232&lt;&gt;"",1+MAX($A$2:A231),"")</f>
        <v/>
      </c>
      <c r="B232" s="84"/>
      <c r="C232" s="85"/>
      <c r="D232" s="79" t="s">
        <v>240</v>
      </c>
      <c r="E232" s="61"/>
      <c r="F232" s="86"/>
      <c r="G232" s="87"/>
      <c r="H232" s="59"/>
      <c r="I232" s="131"/>
      <c r="J232" s="132"/>
      <c r="K232" s="133"/>
      <c r="L232" s="134"/>
      <c r="M232" s="134"/>
      <c r="N232" s="134"/>
      <c r="O232" s="134"/>
      <c r="P232" s="134"/>
      <c r="Q232" s="165"/>
      <c r="R232" s="167"/>
      <c r="S232" s="167"/>
      <c r="T232" s="167"/>
      <c r="U232" s="167"/>
      <c r="V232" s="167"/>
      <c r="W232" s="167"/>
      <c r="X232" s="167"/>
      <c r="Y232" s="167"/>
      <c r="Z232" s="167"/>
      <c r="AA232" s="167"/>
      <c r="AB232" s="167"/>
      <c r="AC232" s="167"/>
      <c r="AD232" s="167"/>
      <c r="AE232" s="167"/>
      <c r="AF232" s="167"/>
      <c r="AG232" s="167"/>
      <c r="AH232" s="167"/>
      <c r="AI232" s="167"/>
      <c r="AJ232" s="167"/>
    </row>
    <row r="233" spans="1:36" s="30" customFormat="1" ht="46.8">
      <c r="A233" s="83">
        <f>IF(F233&lt;&gt;"",1+MAX($A$2:A232),"")</f>
        <v>186</v>
      </c>
      <c r="B233" s="84"/>
      <c r="C233" s="85"/>
      <c r="D233" s="58" t="s">
        <v>241</v>
      </c>
      <c r="E233" s="61">
        <v>19</v>
      </c>
      <c r="F233" s="60">
        <v>0</v>
      </c>
      <c r="G233" s="55">
        <f t="shared" ref="G233:G240" si="187">(F233*E233)+E233</f>
        <v>19</v>
      </c>
      <c r="H233" s="59" t="s">
        <v>71</v>
      </c>
      <c r="I233" s="131">
        <v>5</v>
      </c>
      <c r="J233" s="132">
        <f t="shared" ref="J233:J240" si="188">+I233*G233</f>
        <v>95</v>
      </c>
      <c r="K233" s="133">
        <f>'LABOR SHEET'!C$3</f>
        <v>128</v>
      </c>
      <c r="L233" s="134">
        <f t="shared" ref="L233:L240" si="189">I233*K233</f>
        <v>640</v>
      </c>
      <c r="M233" s="134">
        <f t="shared" ref="M233:M240" si="190">K233*J233</f>
        <v>12160</v>
      </c>
      <c r="N233" s="134">
        <v>1450</v>
      </c>
      <c r="O233" s="134">
        <f t="shared" ref="O233:O240" si="191">N233*G233</f>
        <v>27550</v>
      </c>
      <c r="P233" s="134">
        <f t="shared" ref="P233:P240" si="192">(I233*K233)+N233</f>
        <v>2090</v>
      </c>
      <c r="Q233" s="164">
        <f t="shared" ref="Q233:Q240" si="193">P233*G233</f>
        <v>39710</v>
      </c>
      <c r="R233" s="167"/>
      <c r="S233" s="167"/>
      <c r="T233" s="167"/>
      <c r="U233" s="167"/>
      <c r="V233" s="167"/>
      <c r="W233" s="167"/>
      <c r="X233" s="167"/>
      <c r="Y233" s="167"/>
      <c r="Z233" s="167"/>
      <c r="AA233" s="167"/>
      <c r="AB233" s="167"/>
      <c r="AC233" s="167"/>
      <c r="AD233" s="167"/>
      <c r="AE233" s="167"/>
      <c r="AF233" s="167"/>
      <c r="AG233" s="167"/>
      <c r="AH233" s="167"/>
      <c r="AI233" s="167"/>
      <c r="AJ233" s="167"/>
    </row>
    <row r="234" spans="1:36" s="30" customFormat="1" ht="46.8">
      <c r="A234" s="83">
        <f>IF(F234&lt;&gt;"",1+MAX($A$2:A233),"")</f>
        <v>187</v>
      </c>
      <c r="B234" s="84"/>
      <c r="C234" s="85"/>
      <c r="D234" s="58" t="s">
        <v>242</v>
      </c>
      <c r="E234" s="61">
        <v>2</v>
      </c>
      <c r="F234" s="60">
        <v>0</v>
      </c>
      <c r="G234" s="55">
        <f t="shared" si="187"/>
        <v>2</v>
      </c>
      <c r="H234" s="59" t="s">
        <v>71</v>
      </c>
      <c r="I234" s="131">
        <v>1</v>
      </c>
      <c r="J234" s="132">
        <f t="shared" si="188"/>
        <v>2</v>
      </c>
      <c r="K234" s="133">
        <f>'LABOR SHEET'!C$3</f>
        <v>128</v>
      </c>
      <c r="L234" s="134">
        <f t="shared" si="189"/>
        <v>128</v>
      </c>
      <c r="M234" s="134">
        <f t="shared" si="190"/>
        <v>256</v>
      </c>
      <c r="N234" s="134">
        <v>169.78</v>
      </c>
      <c r="O234" s="134">
        <f t="shared" si="191"/>
        <v>339.56</v>
      </c>
      <c r="P234" s="134">
        <f t="shared" si="192"/>
        <v>297.77999999999997</v>
      </c>
      <c r="Q234" s="164">
        <f t="shared" si="193"/>
        <v>595.55999999999995</v>
      </c>
      <c r="R234" s="167"/>
      <c r="S234" s="167"/>
      <c r="T234" s="167"/>
      <c r="U234" s="167"/>
      <c r="V234" s="167"/>
      <c r="W234" s="167"/>
      <c r="X234" s="167"/>
      <c r="Y234" s="167"/>
      <c r="Z234" s="167"/>
      <c r="AA234" s="167"/>
      <c r="AB234" s="167"/>
      <c r="AC234" s="167"/>
      <c r="AD234" s="167"/>
      <c r="AE234" s="167"/>
      <c r="AF234" s="167"/>
      <c r="AG234" s="167"/>
      <c r="AH234" s="167"/>
      <c r="AI234" s="167"/>
      <c r="AJ234" s="167"/>
    </row>
    <row r="235" spans="1:36" s="30" customFormat="1" ht="46.8">
      <c r="A235" s="83">
        <f>IF(F235&lt;&gt;"",1+MAX($A$2:A234),"")</f>
        <v>188</v>
      </c>
      <c r="B235" s="84"/>
      <c r="C235" s="85"/>
      <c r="D235" s="58" t="s">
        <v>243</v>
      </c>
      <c r="E235" s="61">
        <v>1</v>
      </c>
      <c r="F235" s="60">
        <v>0</v>
      </c>
      <c r="G235" s="55">
        <f t="shared" si="187"/>
        <v>1</v>
      </c>
      <c r="H235" s="59" t="s">
        <v>71</v>
      </c>
      <c r="I235" s="131">
        <v>2</v>
      </c>
      <c r="J235" s="132">
        <f t="shared" si="188"/>
        <v>2</v>
      </c>
      <c r="K235" s="133">
        <f>'LABOR SHEET'!C$3</f>
        <v>128</v>
      </c>
      <c r="L235" s="134">
        <f t="shared" si="189"/>
        <v>256</v>
      </c>
      <c r="M235" s="134">
        <f t="shared" si="190"/>
        <v>256</v>
      </c>
      <c r="N235" s="134">
        <v>1150</v>
      </c>
      <c r="O235" s="134">
        <f t="shared" si="191"/>
        <v>1150</v>
      </c>
      <c r="P235" s="134">
        <f t="shared" si="192"/>
        <v>1406</v>
      </c>
      <c r="Q235" s="164">
        <f t="shared" si="193"/>
        <v>1406</v>
      </c>
      <c r="R235" s="167"/>
      <c r="S235" s="167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  <c r="AI235" s="167"/>
      <c r="AJ235" s="167"/>
    </row>
    <row r="236" spans="1:36" s="30" customFormat="1" ht="46.8">
      <c r="A236" s="83">
        <f>IF(F236&lt;&gt;"",1+MAX($A$2:A235),"")</f>
        <v>189</v>
      </c>
      <c r="B236" s="84"/>
      <c r="C236" s="85"/>
      <c r="D236" s="58" t="s">
        <v>244</v>
      </c>
      <c r="E236" s="61">
        <v>2</v>
      </c>
      <c r="F236" s="60">
        <v>0</v>
      </c>
      <c r="G236" s="55">
        <f t="shared" si="187"/>
        <v>2</v>
      </c>
      <c r="H236" s="59" t="s">
        <v>71</v>
      </c>
      <c r="I236" s="131">
        <v>4.5</v>
      </c>
      <c r="J236" s="132">
        <f t="shared" si="188"/>
        <v>9</v>
      </c>
      <c r="K236" s="133">
        <f>'LABOR SHEET'!C$3</f>
        <v>128</v>
      </c>
      <c r="L236" s="134">
        <f t="shared" si="189"/>
        <v>576</v>
      </c>
      <c r="M236" s="134">
        <f t="shared" si="190"/>
        <v>1152</v>
      </c>
      <c r="N236" s="134">
        <v>1142</v>
      </c>
      <c r="O236" s="134">
        <f t="shared" si="191"/>
        <v>2284</v>
      </c>
      <c r="P236" s="134">
        <f t="shared" si="192"/>
        <v>1718</v>
      </c>
      <c r="Q236" s="164">
        <f t="shared" si="193"/>
        <v>3436</v>
      </c>
      <c r="R236" s="167"/>
      <c r="S236" s="167"/>
      <c r="T236" s="167"/>
      <c r="U236" s="167"/>
      <c r="V236" s="167"/>
      <c r="W236" s="167"/>
      <c r="X236" s="167"/>
      <c r="Y236" s="167"/>
      <c r="Z236" s="167"/>
      <c r="AA236" s="167"/>
      <c r="AB236" s="167"/>
      <c r="AC236" s="167"/>
      <c r="AD236" s="167"/>
      <c r="AE236" s="167"/>
      <c r="AF236" s="167"/>
      <c r="AG236" s="167"/>
      <c r="AH236" s="167"/>
      <c r="AI236" s="167"/>
      <c r="AJ236" s="167"/>
    </row>
    <row r="237" spans="1:36" s="30" customFormat="1" ht="46.8">
      <c r="A237" s="83">
        <f>IF(F237&lt;&gt;"",1+MAX($A$2:A236),"")</f>
        <v>190</v>
      </c>
      <c r="B237" s="84"/>
      <c r="C237" s="85"/>
      <c r="D237" s="58" t="s">
        <v>245</v>
      </c>
      <c r="E237" s="61">
        <v>8</v>
      </c>
      <c r="F237" s="60">
        <v>0</v>
      </c>
      <c r="G237" s="55">
        <f t="shared" si="187"/>
        <v>8</v>
      </c>
      <c r="H237" s="59" t="s">
        <v>71</v>
      </c>
      <c r="I237" s="131">
        <v>4.5</v>
      </c>
      <c r="J237" s="132">
        <f t="shared" si="188"/>
        <v>36</v>
      </c>
      <c r="K237" s="133">
        <f>'LABOR SHEET'!C$3</f>
        <v>128</v>
      </c>
      <c r="L237" s="134">
        <f t="shared" si="189"/>
        <v>576</v>
      </c>
      <c r="M237" s="134">
        <f t="shared" si="190"/>
        <v>4608</v>
      </c>
      <c r="N237" s="134">
        <v>1142</v>
      </c>
      <c r="O237" s="134">
        <f t="shared" si="191"/>
        <v>9136</v>
      </c>
      <c r="P237" s="134">
        <f t="shared" si="192"/>
        <v>1718</v>
      </c>
      <c r="Q237" s="164">
        <f t="shared" si="193"/>
        <v>13744</v>
      </c>
      <c r="R237" s="167"/>
      <c r="S237" s="167"/>
      <c r="T237" s="167"/>
      <c r="U237" s="167"/>
      <c r="V237" s="167"/>
      <c r="W237" s="167"/>
      <c r="X237" s="167"/>
      <c r="Y237" s="167"/>
      <c r="Z237" s="167"/>
      <c r="AA237" s="167"/>
      <c r="AB237" s="167"/>
      <c r="AC237" s="167"/>
      <c r="AD237" s="167"/>
      <c r="AE237" s="167"/>
      <c r="AF237" s="167"/>
      <c r="AG237" s="167"/>
      <c r="AH237" s="167"/>
      <c r="AI237" s="167"/>
      <c r="AJ237" s="167"/>
    </row>
    <row r="238" spans="1:36" s="30" customFormat="1" ht="46.8">
      <c r="A238" s="83">
        <f>IF(F238&lt;&gt;"",1+MAX($A$2:A237),"")</f>
        <v>191</v>
      </c>
      <c r="B238" s="84"/>
      <c r="C238" s="85"/>
      <c r="D238" s="58" t="s">
        <v>246</v>
      </c>
      <c r="E238" s="61">
        <v>2</v>
      </c>
      <c r="F238" s="60">
        <v>0</v>
      </c>
      <c r="G238" s="55">
        <f t="shared" si="187"/>
        <v>2</v>
      </c>
      <c r="H238" s="59" t="s">
        <v>71</v>
      </c>
      <c r="I238" s="131">
        <v>3.2</v>
      </c>
      <c r="J238" s="132">
        <f t="shared" si="188"/>
        <v>6.4</v>
      </c>
      <c r="K238" s="133">
        <f>'LABOR SHEET'!C$3</f>
        <v>128</v>
      </c>
      <c r="L238" s="134">
        <f t="shared" si="189"/>
        <v>409.6</v>
      </c>
      <c r="M238" s="134">
        <f t="shared" si="190"/>
        <v>819.2</v>
      </c>
      <c r="N238" s="134">
        <v>844.35</v>
      </c>
      <c r="O238" s="134">
        <f t="shared" si="191"/>
        <v>1688.7</v>
      </c>
      <c r="P238" s="134">
        <f t="shared" si="192"/>
        <v>1253.95</v>
      </c>
      <c r="Q238" s="164">
        <f t="shared" si="193"/>
        <v>2507.9</v>
      </c>
      <c r="R238" s="167"/>
      <c r="S238" s="167"/>
      <c r="T238" s="167"/>
      <c r="U238" s="167"/>
      <c r="V238" s="167"/>
      <c r="W238" s="167"/>
      <c r="X238" s="167"/>
      <c r="Y238" s="167"/>
      <c r="Z238" s="167"/>
      <c r="AA238" s="167"/>
      <c r="AB238" s="167"/>
      <c r="AC238" s="167"/>
      <c r="AD238" s="167"/>
      <c r="AE238" s="167"/>
      <c r="AF238" s="167"/>
      <c r="AG238" s="167"/>
      <c r="AH238" s="167"/>
      <c r="AI238" s="167"/>
      <c r="AJ238" s="167"/>
    </row>
    <row r="239" spans="1:36" s="30" customFormat="1" ht="46.8">
      <c r="A239" s="83">
        <f>IF(F239&lt;&gt;"",1+MAX($A$2:A238),"")</f>
        <v>192</v>
      </c>
      <c r="B239" s="84"/>
      <c r="C239" s="85"/>
      <c r="D239" s="58" t="s">
        <v>247</v>
      </c>
      <c r="E239" s="61">
        <v>3</v>
      </c>
      <c r="F239" s="60">
        <v>0</v>
      </c>
      <c r="G239" s="55">
        <f t="shared" si="187"/>
        <v>3</v>
      </c>
      <c r="H239" s="59" t="s">
        <v>71</v>
      </c>
      <c r="I239" s="131">
        <f>0.2*11</f>
        <v>2.2000000000000002</v>
      </c>
      <c r="J239" s="132">
        <f t="shared" si="188"/>
        <v>6.6</v>
      </c>
      <c r="K239" s="133">
        <f>'LABOR SHEET'!C$3</f>
        <v>128</v>
      </c>
      <c r="L239" s="134">
        <f t="shared" si="189"/>
        <v>281.60000000000002</v>
      </c>
      <c r="M239" s="134">
        <f t="shared" si="190"/>
        <v>844.8</v>
      </c>
      <c r="N239" s="134">
        <f>42.5*11</f>
        <v>467.5</v>
      </c>
      <c r="O239" s="134">
        <f t="shared" si="191"/>
        <v>1402.5</v>
      </c>
      <c r="P239" s="134">
        <f t="shared" si="192"/>
        <v>749.1</v>
      </c>
      <c r="Q239" s="164">
        <f t="shared" si="193"/>
        <v>2247.3000000000002</v>
      </c>
      <c r="R239" s="167"/>
      <c r="S239" s="167"/>
      <c r="T239" s="167"/>
      <c r="U239" s="167"/>
      <c r="V239" s="167"/>
      <c r="W239" s="167"/>
      <c r="X239" s="167"/>
      <c r="Y239" s="167"/>
      <c r="Z239" s="167"/>
      <c r="AA239" s="167"/>
      <c r="AB239" s="167"/>
      <c r="AC239" s="167"/>
      <c r="AD239" s="167"/>
      <c r="AE239" s="167"/>
      <c r="AF239" s="167"/>
      <c r="AG239" s="167"/>
      <c r="AH239" s="167"/>
      <c r="AI239" s="167"/>
      <c r="AJ239" s="167"/>
    </row>
    <row r="240" spans="1:36" s="30" customFormat="1" ht="46.8">
      <c r="A240" s="83">
        <f>IF(F240&lt;&gt;"",1+MAX($A$2:A239),"")</f>
        <v>193</v>
      </c>
      <c r="B240" s="84"/>
      <c r="C240" s="85"/>
      <c r="D240" s="58" t="s">
        <v>248</v>
      </c>
      <c r="E240" s="61">
        <v>1</v>
      </c>
      <c r="F240" s="60">
        <v>0</v>
      </c>
      <c r="G240" s="55">
        <f t="shared" si="187"/>
        <v>1</v>
      </c>
      <c r="H240" s="59" t="s">
        <v>71</v>
      </c>
      <c r="I240" s="131">
        <f>0.2*13</f>
        <v>2.6</v>
      </c>
      <c r="J240" s="132">
        <f t="shared" si="188"/>
        <v>2.6</v>
      </c>
      <c r="K240" s="133">
        <f>'LABOR SHEET'!C$3</f>
        <v>128</v>
      </c>
      <c r="L240" s="134">
        <f t="shared" si="189"/>
        <v>332.8</v>
      </c>
      <c r="M240" s="134">
        <f t="shared" si="190"/>
        <v>332.8</v>
      </c>
      <c r="N240" s="134">
        <f>42.5*13</f>
        <v>552.5</v>
      </c>
      <c r="O240" s="134">
        <f t="shared" si="191"/>
        <v>552.5</v>
      </c>
      <c r="P240" s="134">
        <f t="shared" si="192"/>
        <v>885.3</v>
      </c>
      <c r="Q240" s="164">
        <f t="shared" si="193"/>
        <v>885.3</v>
      </c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  <c r="AI240" s="167"/>
      <c r="AJ240" s="167"/>
    </row>
    <row r="241" spans="1:36" s="30" customFormat="1">
      <c r="A241" s="83" t="str">
        <f>IF(F241&lt;&gt;"",1+MAX($A$2:A240),"")</f>
        <v/>
      </c>
      <c r="B241" s="84"/>
      <c r="C241" s="85"/>
      <c r="D241" s="58"/>
      <c r="E241" s="61"/>
      <c r="F241" s="86"/>
      <c r="G241" s="87"/>
      <c r="H241" s="59"/>
      <c r="I241" s="131"/>
      <c r="J241" s="132"/>
      <c r="K241" s="133"/>
      <c r="L241" s="134"/>
      <c r="M241" s="134"/>
      <c r="N241" s="134"/>
      <c r="O241" s="134"/>
      <c r="P241" s="134"/>
      <c r="Q241" s="165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  <c r="AI241" s="167"/>
      <c r="AJ241" s="167"/>
    </row>
    <row r="242" spans="1:36" s="30" customFormat="1">
      <c r="A242" s="83" t="str">
        <f>IF(F242&lt;&gt;"",1+MAX($A$2:A241),"")</f>
        <v/>
      </c>
      <c r="B242" s="84"/>
      <c r="C242" s="85"/>
      <c r="D242" s="79" t="s">
        <v>249</v>
      </c>
      <c r="E242" s="61"/>
      <c r="F242" s="86"/>
      <c r="G242" s="87"/>
      <c r="H242" s="59"/>
      <c r="I242" s="131"/>
      <c r="J242" s="132"/>
      <c r="K242" s="133"/>
      <c r="L242" s="134"/>
      <c r="M242" s="134"/>
      <c r="N242" s="134"/>
      <c r="O242" s="134"/>
      <c r="P242" s="134"/>
      <c r="Q242" s="165"/>
      <c r="R242" s="167"/>
      <c r="S242" s="167"/>
      <c r="T242" s="167"/>
      <c r="U242" s="167"/>
      <c r="V242" s="167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  <c r="AI242" s="167"/>
      <c r="AJ242" s="167"/>
    </row>
    <row r="243" spans="1:36" s="30" customFormat="1">
      <c r="A243" s="83">
        <f>IF(F243&lt;&gt;"",1+MAX($A$2:A242),"")</f>
        <v>194</v>
      </c>
      <c r="B243" s="84"/>
      <c r="C243" s="85"/>
      <c r="D243" s="58" t="s">
        <v>250</v>
      </c>
      <c r="E243" s="61">
        <v>10</v>
      </c>
      <c r="F243" s="60">
        <v>0</v>
      </c>
      <c r="G243" s="55">
        <f t="shared" ref="G243:G270" si="194">(F243*E243)+E243</f>
        <v>10</v>
      </c>
      <c r="H243" s="59" t="s">
        <v>71</v>
      </c>
      <c r="I243" s="131">
        <v>3.5</v>
      </c>
      <c r="J243" s="132">
        <f t="shared" ref="J243:J244" si="195">+I243*G243</f>
        <v>35</v>
      </c>
      <c r="K243" s="133">
        <f>'LABOR SHEET'!C$3</f>
        <v>128</v>
      </c>
      <c r="L243" s="134">
        <f t="shared" ref="L243:L244" si="196">I243*K243</f>
        <v>448</v>
      </c>
      <c r="M243" s="134">
        <f t="shared" ref="M243:M244" si="197">K243*J243</f>
        <v>4480</v>
      </c>
      <c r="N243" s="134">
        <v>715</v>
      </c>
      <c r="O243" s="134">
        <f t="shared" ref="O243:O244" si="198">N243*G243</f>
        <v>7150</v>
      </c>
      <c r="P243" s="134">
        <f t="shared" ref="P243:P244" si="199">(I243*K243)+N243</f>
        <v>1163</v>
      </c>
      <c r="Q243" s="164">
        <f t="shared" ref="Q243:Q244" si="200">P243*G243</f>
        <v>11630</v>
      </c>
      <c r="R243" s="167"/>
      <c r="S243" s="167"/>
      <c r="T243" s="167"/>
      <c r="U243" s="167"/>
      <c r="V243" s="167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  <c r="AI243" s="167"/>
      <c r="AJ243" s="167"/>
    </row>
    <row r="244" spans="1:36" s="30" customFormat="1">
      <c r="A244" s="83">
        <f>IF(F244&lt;&gt;"",1+MAX($A$2:A243),"")</f>
        <v>195</v>
      </c>
      <c r="B244" s="84"/>
      <c r="C244" s="85"/>
      <c r="D244" s="58" t="s">
        <v>251</v>
      </c>
      <c r="E244" s="61">
        <v>10</v>
      </c>
      <c r="F244" s="60">
        <v>0</v>
      </c>
      <c r="G244" s="55">
        <f t="shared" si="194"/>
        <v>10</v>
      </c>
      <c r="H244" s="59" t="s">
        <v>71</v>
      </c>
      <c r="I244" s="131">
        <v>5</v>
      </c>
      <c r="J244" s="132">
        <f t="shared" si="195"/>
        <v>50</v>
      </c>
      <c r="K244" s="133">
        <f>'LABOR SHEET'!C$3</f>
        <v>128</v>
      </c>
      <c r="L244" s="134">
        <f t="shared" si="196"/>
        <v>640</v>
      </c>
      <c r="M244" s="134">
        <f t="shared" si="197"/>
        <v>6400</v>
      </c>
      <c r="N244" s="134">
        <v>1750</v>
      </c>
      <c r="O244" s="134">
        <f t="shared" si="198"/>
        <v>17500</v>
      </c>
      <c r="P244" s="134">
        <f t="shared" si="199"/>
        <v>2390</v>
      </c>
      <c r="Q244" s="164">
        <f t="shared" si="200"/>
        <v>23900</v>
      </c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  <c r="AI244" s="167"/>
      <c r="AJ244" s="167"/>
    </row>
    <row r="245" spans="1:36" s="30" customFormat="1">
      <c r="A245" s="83" t="str">
        <f>IF(F245&lt;&gt;"",1+MAX($A$2:A244),"")</f>
        <v/>
      </c>
      <c r="B245" s="84"/>
      <c r="C245" s="85"/>
      <c r="D245" s="58"/>
      <c r="E245" s="61"/>
      <c r="F245" s="86"/>
      <c r="G245" s="87"/>
      <c r="H245" s="59"/>
      <c r="I245" s="131"/>
      <c r="J245" s="132"/>
      <c r="K245" s="133"/>
      <c r="L245" s="134"/>
      <c r="M245" s="134"/>
      <c r="N245" s="134"/>
      <c r="O245" s="134"/>
      <c r="P245" s="134"/>
      <c r="Q245" s="165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</row>
    <row r="246" spans="1:36" s="30" customFormat="1">
      <c r="A246" s="83" t="str">
        <f>IF(F246&lt;&gt;"",1+MAX($A$2:A245),"")</f>
        <v/>
      </c>
      <c r="B246" s="84"/>
      <c r="C246" s="85"/>
      <c r="D246" s="79" t="s">
        <v>252</v>
      </c>
      <c r="E246" s="61"/>
      <c r="F246" s="86"/>
      <c r="G246" s="87"/>
      <c r="H246" s="59"/>
      <c r="I246" s="131"/>
      <c r="J246" s="132"/>
      <c r="K246" s="133"/>
      <c r="L246" s="134"/>
      <c r="M246" s="134"/>
      <c r="N246" s="134"/>
      <c r="O246" s="134"/>
      <c r="P246" s="134"/>
      <c r="Q246" s="165"/>
      <c r="R246" s="167"/>
      <c r="S246" s="167"/>
      <c r="T246" s="167"/>
      <c r="U246" s="167"/>
      <c r="V246" s="167"/>
      <c r="W246" s="167"/>
      <c r="X246" s="167"/>
      <c r="Y246" s="167"/>
      <c r="Z246" s="167"/>
      <c r="AA246" s="167"/>
      <c r="AB246" s="167"/>
      <c r="AC246" s="167"/>
      <c r="AD246" s="167"/>
      <c r="AE246" s="167"/>
      <c r="AF246" s="167"/>
      <c r="AG246" s="167"/>
      <c r="AH246" s="167"/>
      <c r="AI246" s="167"/>
      <c r="AJ246" s="167"/>
    </row>
    <row r="247" spans="1:36" s="30" customFormat="1" ht="31.2">
      <c r="A247" s="83">
        <f>IF(F247&lt;&gt;"",1+MAX($A$2:A246),"")</f>
        <v>196</v>
      </c>
      <c r="B247" s="84"/>
      <c r="C247" s="85"/>
      <c r="D247" s="58" t="s">
        <v>253</v>
      </c>
      <c r="E247" s="61">
        <v>11</v>
      </c>
      <c r="F247" s="60">
        <v>0</v>
      </c>
      <c r="G247" s="55">
        <f t="shared" si="194"/>
        <v>11</v>
      </c>
      <c r="H247" s="59" t="s">
        <v>71</v>
      </c>
      <c r="I247" s="131">
        <v>0.65</v>
      </c>
      <c r="J247" s="132">
        <f t="shared" ref="J247:J268" si="201">+I247*G247</f>
        <v>7.15</v>
      </c>
      <c r="K247" s="133">
        <f>'LABOR SHEET'!C$3</f>
        <v>128</v>
      </c>
      <c r="L247" s="134">
        <f t="shared" ref="L247:L268" si="202">I247*K247</f>
        <v>83.2</v>
      </c>
      <c r="M247" s="134">
        <f t="shared" ref="M247:M268" si="203">K247*J247</f>
        <v>915.2</v>
      </c>
      <c r="N247" s="134">
        <v>133.5</v>
      </c>
      <c r="O247" s="134">
        <f t="shared" ref="O247:O268" si="204">N247*G247</f>
        <v>1468.5</v>
      </c>
      <c r="P247" s="134">
        <f t="shared" ref="P247:P268" si="205">(I247*K247)+N247</f>
        <v>216.7</v>
      </c>
      <c r="Q247" s="164">
        <f t="shared" ref="Q247:Q268" si="206">P247*G247</f>
        <v>2383.6999999999998</v>
      </c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  <c r="AI247" s="167"/>
      <c r="AJ247" s="167"/>
    </row>
    <row r="248" spans="1:36" s="30" customFormat="1">
      <c r="A248" s="83">
        <f>IF(F248&lt;&gt;"",1+MAX($A$2:A247),"")</f>
        <v>197</v>
      </c>
      <c r="B248" s="84"/>
      <c r="C248" s="85"/>
      <c r="D248" s="58" t="s">
        <v>254</v>
      </c>
      <c r="E248" s="61">
        <v>1</v>
      </c>
      <c r="F248" s="60">
        <v>0</v>
      </c>
      <c r="G248" s="55">
        <f t="shared" si="194"/>
        <v>1</v>
      </c>
      <c r="H248" s="59" t="s">
        <v>71</v>
      </c>
      <c r="I248" s="131">
        <v>10</v>
      </c>
      <c r="J248" s="132">
        <f t="shared" si="201"/>
        <v>10</v>
      </c>
      <c r="K248" s="133">
        <f>'LABOR SHEET'!C$3</f>
        <v>128</v>
      </c>
      <c r="L248" s="134">
        <f t="shared" si="202"/>
        <v>1280</v>
      </c>
      <c r="M248" s="134">
        <f t="shared" si="203"/>
        <v>1280</v>
      </c>
      <c r="N248" s="134">
        <v>2410.7199999999998</v>
      </c>
      <c r="O248" s="134">
        <f t="shared" si="204"/>
        <v>2410.7199999999998</v>
      </c>
      <c r="P248" s="134">
        <f t="shared" si="205"/>
        <v>3690.72</v>
      </c>
      <c r="Q248" s="164">
        <f t="shared" si="206"/>
        <v>3690.72</v>
      </c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7"/>
    </row>
    <row r="249" spans="1:36" s="30" customFormat="1" ht="31.2">
      <c r="A249" s="83">
        <f>IF(F249&lt;&gt;"",1+MAX($A$2:A248),"")</f>
        <v>198</v>
      </c>
      <c r="B249" s="84"/>
      <c r="C249" s="85"/>
      <c r="D249" s="58" t="s">
        <v>255</v>
      </c>
      <c r="E249" s="61">
        <v>15</v>
      </c>
      <c r="F249" s="60">
        <v>0</v>
      </c>
      <c r="G249" s="55">
        <f t="shared" si="194"/>
        <v>15</v>
      </c>
      <c r="H249" s="59" t="s">
        <v>71</v>
      </c>
      <c r="I249" s="131">
        <v>0.86</v>
      </c>
      <c r="J249" s="132">
        <f t="shared" si="201"/>
        <v>12.9</v>
      </c>
      <c r="K249" s="133">
        <f>'LABOR SHEET'!C$3</f>
        <v>128</v>
      </c>
      <c r="L249" s="134">
        <f t="shared" si="202"/>
        <v>110.08</v>
      </c>
      <c r="M249" s="134">
        <f t="shared" si="203"/>
        <v>1651.2</v>
      </c>
      <c r="N249" s="134">
        <v>177</v>
      </c>
      <c r="O249" s="134">
        <f t="shared" si="204"/>
        <v>2655</v>
      </c>
      <c r="P249" s="134">
        <f t="shared" si="205"/>
        <v>287.08</v>
      </c>
      <c r="Q249" s="164">
        <f t="shared" si="206"/>
        <v>4306.2</v>
      </c>
      <c r="R249" s="167"/>
      <c r="S249" s="167"/>
      <c r="T249" s="167"/>
      <c r="U249" s="167"/>
      <c r="V249" s="167"/>
      <c r="W249" s="167"/>
      <c r="X249" s="167"/>
      <c r="Y249" s="167"/>
      <c r="Z249" s="167"/>
      <c r="AA249" s="167"/>
      <c r="AB249" s="167"/>
      <c r="AC249" s="167"/>
      <c r="AD249" s="167"/>
      <c r="AE249" s="167"/>
      <c r="AF249" s="167"/>
      <c r="AG249" s="167"/>
      <c r="AH249" s="167"/>
      <c r="AI249" s="167"/>
      <c r="AJ249" s="167"/>
    </row>
    <row r="250" spans="1:36" s="30" customFormat="1" ht="31.2">
      <c r="A250" s="83">
        <f>IF(F250&lt;&gt;"",1+MAX($A$2:A249),"")</f>
        <v>199</v>
      </c>
      <c r="B250" s="84"/>
      <c r="C250" s="85"/>
      <c r="D250" s="58" t="s">
        <v>256</v>
      </c>
      <c r="E250" s="61">
        <v>11</v>
      </c>
      <c r="F250" s="60">
        <v>0</v>
      </c>
      <c r="G250" s="55">
        <f t="shared" si="194"/>
        <v>11</v>
      </c>
      <c r="H250" s="59" t="s">
        <v>71</v>
      </c>
      <c r="I250" s="131">
        <v>0.55000000000000004</v>
      </c>
      <c r="J250" s="132">
        <f t="shared" si="201"/>
        <v>6.05</v>
      </c>
      <c r="K250" s="133">
        <f>'LABOR SHEET'!C$3</f>
        <v>128</v>
      </c>
      <c r="L250" s="134">
        <f t="shared" si="202"/>
        <v>70.400000000000006</v>
      </c>
      <c r="M250" s="134">
        <f t="shared" si="203"/>
        <v>774.4</v>
      </c>
      <c r="N250" s="134">
        <v>89.9</v>
      </c>
      <c r="O250" s="134">
        <f t="shared" si="204"/>
        <v>988.9</v>
      </c>
      <c r="P250" s="134">
        <f t="shared" si="205"/>
        <v>160.30000000000001</v>
      </c>
      <c r="Q250" s="164">
        <f t="shared" si="206"/>
        <v>1763.3</v>
      </c>
      <c r="R250" s="167"/>
      <c r="S250" s="167"/>
      <c r="T250" s="167"/>
      <c r="U250" s="167"/>
      <c r="V250" s="167"/>
      <c r="W250" s="167"/>
      <c r="X250" s="167"/>
      <c r="Y250" s="167"/>
      <c r="Z250" s="167"/>
      <c r="AA250" s="167"/>
      <c r="AB250" s="167"/>
      <c r="AC250" s="167"/>
      <c r="AD250" s="167"/>
      <c r="AE250" s="167"/>
      <c r="AF250" s="167"/>
      <c r="AG250" s="167"/>
      <c r="AH250" s="167"/>
      <c r="AI250" s="167"/>
      <c r="AJ250" s="167"/>
    </row>
    <row r="251" spans="1:36" s="30" customFormat="1" ht="31.2">
      <c r="A251" s="83">
        <f>IF(F251&lt;&gt;"",1+MAX($A$2:A250),"")</f>
        <v>200</v>
      </c>
      <c r="B251" s="84"/>
      <c r="C251" s="85"/>
      <c r="D251" s="58" t="s">
        <v>257</v>
      </c>
      <c r="E251" s="61">
        <v>2</v>
      </c>
      <c r="F251" s="60">
        <v>0</v>
      </c>
      <c r="G251" s="55">
        <f t="shared" si="194"/>
        <v>2</v>
      </c>
      <c r="H251" s="59" t="s">
        <v>71</v>
      </c>
      <c r="I251" s="131">
        <v>0.32</v>
      </c>
      <c r="J251" s="132">
        <f t="shared" si="201"/>
        <v>0.64</v>
      </c>
      <c r="K251" s="133">
        <f>'LABOR SHEET'!C$3</f>
        <v>128</v>
      </c>
      <c r="L251" s="134">
        <f t="shared" si="202"/>
        <v>40.96</v>
      </c>
      <c r="M251" s="134">
        <f t="shared" si="203"/>
        <v>81.92</v>
      </c>
      <c r="N251" s="134">
        <v>38</v>
      </c>
      <c r="O251" s="134">
        <f t="shared" si="204"/>
        <v>76</v>
      </c>
      <c r="P251" s="134">
        <f t="shared" si="205"/>
        <v>78.959999999999994</v>
      </c>
      <c r="Q251" s="164">
        <f t="shared" si="206"/>
        <v>157.91999999999999</v>
      </c>
      <c r="R251" s="167"/>
      <c r="S251" s="167"/>
      <c r="T251" s="167"/>
      <c r="U251" s="167"/>
      <c r="V251" s="167"/>
      <c r="W251" s="167"/>
      <c r="X251" s="167"/>
      <c r="Y251" s="167"/>
      <c r="Z251" s="167"/>
      <c r="AA251" s="167"/>
      <c r="AB251" s="167"/>
      <c r="AC251" s="167"/>
      <c r="AD251" s="167"/>
      <c r="AE251" s="167"/>
      <c r="AF251" s="167"/>
      <c r="AG251" s="167"/>
      <c r="AH251" s="167"/>
      <c r="AI251" s="167"/>
      <c r="AJ251" s="167"/>
    </row>
    <row r="252" spans="1:36" s="30" customFormat="1" ht="31.2">
      <c r="A252" s="83">
        <f>IF(F252&lt;&gt;"",1+MAX($A$2:A251),"")</f>
        <v>201</v>
      </c>
      <c r="B252" s="84"/>
      <c r="C252" s="85"/>
      <c r="D252" s="58" t="s">
        <v>258</v>
      </c>
      <c r="E252" s="61">
        <v>4</v>
      </c>
      <c r="F252" s="60">
        <v>0</v>
      </c>
      <c r="G252" s="55">
        <f t="shared" si="194"/>
        <v>4</v>
      </c>
      <c r="H252" s="59" t="s">
        <v>71</v>
      </c>
      <c r="I252" s="131">
        <v>0.45</v>
      </c>
      <c r="J252" s="132">
        <f t="shared" si="201"/>
        <v>1.8</v>
      </c>
      <c r="K252" s="133">
        <f>'LABOR SHEET'!C$3</f>
        <v>128</v>
      </c>
      <c r="L252" s="134">
        <f t="shared" si="202"/>
        <v>57.6</v>
      </c>
      <c r="M252" s="134">
        <f t="shared" si="203"/>
        <v>230.4</v>
      </c>
      <c r="N252" s="134">
        <v>68.5</v>
      </c>
      <c r="O252" s="134">
        <f t="shared" si="204"/>
        <v>274</v>
      </c>
      <c r="P252" s="134">
        <f t="shared" si="205"/>
        <v>126.1</v>
      </c>
      <c r="Q252" s="164">
        <f t="shared" si="206"/>
        <v>504.4</v>
      </c>
      <c r="R252" s="167"/>
      <c r="S252" s="167"/>
      <c r="T252" s="167"/>
      <c r="U252" s="167"/>
      <c r="V252" s="167"/>
      <c r="W252" s="167"/>
      <c r="X252" s="167"/>
      <c r="Y252" s="167"/>
      <c r="Z252" s="167"/>
      <c r="AA252" s="167"/>
      <c r="AB252" s="167"/>
      <c r="AC252" s="167"/>
      <c r="AD252" s="167"/>
      <c r="AE252" s="167"/>
      <c r="AF252" s="167"/>
      <c r="AG252" s="167"/>
      <c r="AH252" s="167"/>
      <c r="AI252" s="167"/>
      <c r="AJ252" s="167"/>
    </row>
    <row r="253" spans="1:36" s="30" customFormat="1" ht="31.2">
      <c r="A253" s="83">
        <f>IF(F253&lt;&gt;"",1+MAX($A$2:A252),"")</f>
        <v>202</v>
      </c>
      <c r="B253" s="84"/>
      <c r="C253" s="85"/>
      <c r="D253" s="58" t="s">
        <v>259</v>
      </c>
      <c r="E253" s="61">
        <v>1</v>
      </c>
      <c r="F253" s="60">
        <v>0</v>
      </c>
      <c r="G253" s="55">
        <f t="shared" si="194"/>
        <v>1</v>
      </c>
      <c r="H253" s="59" t="s">
        <v>71</v>
      </c>
      <c r="I253" s="131">
        <v>1</v>
      </c>
      <c r="J253" s="132">
        <f t="shared" si="201"/>
        <v>1</v>
      </c>
      <c r="K253" s="133">
        <f>'LABOR SHEET'!C$3</f>
        <v>128</v>
      </c>
      <c r="L253" s="134">
        <f t="shared" si="202"/>
        <v>128</v>
      </c>
      <c r="M253" s="134">
        <f t="shared" si="203"/>
        <v>128</v>
      </c>
      <c r="N253" s="134">
        <v>92.75</v>
      </c>
      <c r="O253" s="134">
        <f t="shared" si="204"/>
        <v>92.75</v>
      </c>
      <c r="P253" s="134">
        <f t="shared" si="205"/>
        <v>220.75</v>
      </c>
      <c r="Q253" s="164">
        <f t="shared" si="206"/>
        <v>220.75</v>
      </c>
      <c r="R253" s="167"/>
      <c r="S253" s="167"/>
      <c r="T253" s="167"/>
      <c r="U253" s="167"/>
      <c r="V253" s="167"/>
      <c r="W253" s="167"/>
      <c r="X253" s="167"/>
      <c r="Y253" s="167"/>
      <c r="Z253" s="167"/>
      <c r="AA253" s="167"/>
      <c r="AB253" s="167"/>
      <c r="AC253" s="167"/>
      <c r="AD253" s="167"/>
      <c r="AE253" s="167"/>
      <c r="AF253" s="167"/>
      <c r="AG253" s="167"/>
      <c r="AH253" s="167"/>
      <c r="AI253" s="167"/>
      <c r="AJ253" s="167"/>
    </row>
    <row r="254" spans="1:36" s="30" customFormat="1" ht="31.2">
      <c r="A254" s="83">
        <f>IF(F254&lt;&gt;"",1+MAX($A$2:A253),"")</f>
        <v>203</v>
      </c>
      <c r="B254" s="84"/>
      <c r="C254" s="85"/>
      <c r="D254" s="58" t="s">
        <v>260</v>
      </c>
      <c r="E254" s="61">
        <v>1</v>
      </c>
      <c r="F254" s="60">
        <v>0</v>
      </c>
      <c r="G254" s="55">
        <f t="shared" si="194"/>
        <v>1</v>
      </c>
      <c r="H254" s="59" t="s">
        <v>71</v>
      </c>
      <c r="I254" s="131">
        <v>1</v>
      </c>
      <c r="J254" s="132">
        <f t="shared" si="201"/>
        <v>1</v>
      </c>
      <c r="K254" s="133">
        <f>'LABOR SHEET'!C$3</f>
        <v>128</v>
      </c>
      <c r="L254" s="134">
        <f t="shared" si="202"/>
        <v>128</v>
      </c>
      <c r="M254" s="134">
        <f t="shared" si="203"/>
        <v>128</v>
      </c>
      <c r="N254" s="134">
        <v>92.75</v>
      </c>
      <c r="O254" s="134">
        <f t="shared" si="204"/>
        <v>92.75</v>
      </c>
      <c r="P254" s="134">
        <f t="shared" si="205"/>
        <v>220.75</v>
      </c>
      <c r="Q254" s="164">
        <f t="shared" si="206"/>
        <v>220.75</v>
      </c>
      <c r="R254" s="167"/>
      <c r="S254" s="167"/>
      <c r="T254" s="167"/>
      <c r="U254" s="167"/>
      <c r="V254" s="167"/>
      <c r="W254" s="167"/>
      <c r="X254" s="167"/>
      <c r="Y254" s="167"/>
      <c r="Z254" s="167"/>
      <c r="AA254" s="167"/>
      <c r="AB254" s="167"/>
      <c r="AC254" s="167"/>
      <c r="AD254" s="167"/>
      <c r="AE254" s="167"/>
      <c r="AF254" s="167"/>
      <c r="AG254" s="167"/>
      <c r="AH254" s="167"/>
      <c r="AI254" s="167"/>
      <c r="AJ254" s="167"/>
    </row>
    <row r="255" spans="1:36" s="30" customFormat="1" ht="31.2">
      <c r="A255" s="83">
        <f>IF(F255&lt;&gt;"",1+MAX($A$2:A254),"")</f>
        <v>204</v>
      </c>
      <c r="B255" s="84"/>
      <c r="C255" s="85"/>
      <c r="D255" s="58" t="s">
        <v>261</v>
      </c>
      <c r="E255" s="61">
        <v>1</v>
      </c>
      <c r="F255" s="60">
        <v>0</v>
      </c>
      <c r="G255" s="55">
        <f t="shared" si="194"/>
        <v>1</v>
      </c>
      <c r="H255" s="59" t="s">
        <v>71</v>
      </c>
      <c r="I255" s="131">
        <v>1.1000000000000001</v>
      </c>
      <c r="J255" s="132">
        <f t="shared" si="201"/>
        <v>1.1000000000000001</v>
      </c>
      <c r="K255" s="133">
        <f>'LABOR SHEET'!C$3</f>
        <v>128</v>
      </c>
      <c r="L255" s="134">
        <f t="shared" si="202"/>
        <v>140.80000000000001</v>
      </c>
      <c r="M255" s="134">
        <f t="shared" si="203"/>
        <v>140.80000000000001</v>
      </c>
      <c r="N255" s="134">
        <v>125</v>
      </c>
      <c r="O255" s="134">
        <f t="shared" si="204"/>
        <v>125</v>
      </c>
      <c r="P255" s="134">
        <f t="shared" si="205"/>
        <v>265.8</v>
      </c>
      <c r="Q255" s="164">
        <f t="shared" si="206"/>
        <v>265.8</v>
      </c>
      <c r="R255" s="167"/>
      <c r="S255" s="167"/>
      <c r="T255" s="167"/>
      <c r="U255" s="167"/>
      <c r="V255" s="167"/>
      <c r="W255" s="167"/>
      <c r="X255" s="167"/>
      <c r="Y255" s="167"/>
      <c r="Z255" s="167"/>
      <c r="AA255" s="167"/>
      <c r="AB255" s="167"/>
      <c r="AC255" s="167"/>
      <c r="AD255" s="167"/>
      <c r="AE255" s="167"/>
      <c r="AF255" s="167"/>
      <c r="AG255" s="167"/>
      <c r="AH255" s="167"/>
      <c r="AI255" s="167"/>
      <c r="AJ255" s="167"/>
    </row>
    <row r="256" spans="1:36" s="30" customFormat="1" ht="31.2">
      <c r="A256" s="83">
        <f>IF(F256&lt;&gt;"",1+MAX($A$2:A255),"")</f>
        <v>205</v>
      </c>
      <c r="B256" s="84"/>
      <c r="C256" s="85"/>
      <c r="D256" s="58" t="s">
        <v>262</v>
      </c>
      <c r="E256" s="61">
        <v>1</v>
      </c>
      <c r="F256" s="60">
        <v>0</v>
      </c>
      <c r="G256" s="55">
        <f t="shared" si="194"/>
        <v>1</v>
      </c>
      <c r="H256" s="59" t="s">
        <v>71</v>
      </c>
      <c r="I256" s="131">
        <v>1</v>
      </c>
      <c r="J256" s="132">
        <f t="shared" si="201"/>
        <v>1</v>
      </c>
      <c r="K256" s="133">
        <f>'LABOR SHEET'!C$3</f>
        <v>128</v>
      </c>
      <c r="L256" s="134">
        <f t="shared" si="202"/>
        <v>128</v>
      </c>
      <c r="M256" s="134">
        <f t="shared" si="203"/>
        <v>128</v>
      </c>
      <c r="N256" s="134">
        <v>92.75</v>
      </c>
      <c r="O256" s="134">
        <f t="shared" si="204"/>
        <v>92.75</v>
      </c>
      <c r="P256" s="134">
        <f t="shared" si="205"/>
        <v>220.75</v>
      </c>
      <c r="Q256" s="164">
        <f t="shared" si="206"/>
        <v>220.75</v>
      </c>
      <c r="R256" s="167"/>
      <c r="S256" s="167"/>
      <c r="T256" s="167"/>
      <c r="U256" s="167"/>
      <c r="V256" s="167"/>
      <c r="W256" s="167"/>
      <c r="X256" s="167"/>
      <c r="Y256" s="167"/>
      <c r="Z256" s="167"/>
      <c r="AA256" s="167"/>
      <c r="AB256" s="167"/>
      <c r="AC256" s="167"/>
      <c r="AD256" s="167"/>
      <c r="AE256" s="167"/>
      <c r="AF256" s="167"/>
      <c r="AG256" s="167"/>
      <c r="AH256" s="167"/>
      <c r="AI256" s="167"/>
      <c r="AJ256" s="167"/>
    </row>
    <row r="257" spans="1:36" s="30" customFormat="1" ht="31.2">
      <c r="A257" s="83">
        <f>IF(F257&lt;&gt;"",1+MAX($A$2:A256),"")</f>
        <v>206</v>
      </c>
      <c r="B257" s="84"/>
      <c r="C257" s="85"/>
      <c r="D257" s="58" t="s">
        <v>263</v>
      </c>
      <c r="E257" s="61">
        <v>1</v>
      </c>
      <c r="F257" s="60">
        <v>0</v>
      </c>
      <c r="G257" s="55">
        <f t="shared" si="194"/>
        <v>1</v>
      </c>
      <c r="H257" s="59" t="s">
        <v>71</v>
      </c>
      <c r="I257" s="131">
        <v>1.1000000000000001</v>
      </c>
      <c r="J257" s="132">
        <f t="shared" ref="J257:J258" si="207">+I257*G257</f>
        <v>1.1000000000000001</v>
      </c>
      <c r="K257" s="133">
        <f>'LABOR SHEET'!C$3</f>
        <v>128</v>
      </c>
      <c r="L257" s="134">
        <f t="shared" ref="L257:L258" si="208">I257*K257</f>
        <v>140.80000000000001</v>
      </c>
      <c r="M257" s="134">
        <f t="shared" ref="M257:M258" si="209">K257*J257</f>
        <v>140.80000000000001</v>
      </c>
      <c r="N257" s="134">
        <v>393.06</v>
      </c>
      <c r="O257" s="134">
        <f t="shared" ref="O257:O258" si="210">N257*G257</f>
        <v>393.06</v>
      </c>
      <c r="P257" s="134">
        <f t="shared" ref="P257:P258" si="211">(I257*K257)+N257</f>
        <v>533.86</v>
      </c>
      <c r="Q257" s="164">
        <f t="shared" ref="Q257:Q258" si="212">P257*G257</f>
        <v>533.86</v>
      </c>
      <c r="R257" s="167"/>
      <c r="S257" s="167"/>
      <c r="T257" s="167"/>
      <c r="U257" s="167"/>
      <c r="V257" s="167"/>
      <c r="W257" s="167"/>
      <c r="X257" s="167"/>
      <c r="Y257" s="167"/>
      <c r="Z257" s="167"/>
      <c r="AA257" s="167"/>
      <c r="AB257" s="167"/>
      <c r="AC257" s="167"/>
      <c r="AD257" s="167"/>
      <c r="AE257" s="167"/>
      <c r="AF257" s="167"/>
      <c r="AG257" s="167"/>
      <c r="AH257" s="167"/>
      <c r="AI257" s="167"/>
      <c r="AJ257" s="167"/>
    </row>
    <row r="258" spans="1:36" s="30" customFormat="1" ht="31.2">
      <c r="A258" s="83">
        <f>IF(F258&lt;&gt;"",1+MAX($A$2:A257),"")</f>
        <v>207</v>
      </c>
      <c r="B258" s="84"/>
      <c r="C258" s="85"/>
      <c r="D258" s="58" t="s">
        <v>264</v>
      </c>
      <c r="E258" s="61">
        <v>1</v>
      </c>
      <c r="F258" s="60">
        <v>0</v>
      </c>
      <c r="G258" s="55">
        <f t="shared" si="194"/>
        <v>1</v>
      </c>
      <c r="H258" s="59" t="s">
        <v>71</v>
      </c>
      <c r="I258" s="131">
        <v>1.1000000000000001</v>
      </c>
      <c r="J258" s="132">
        <f t="shared" si="207"/>
        <v>1.1000000000000001</v>
      </c>
      <c r="K258" s="133">
        <f>'LABOR SHEET'!C$3</f>
        <v>128</v>
      </c>
      <c r="L258" s="134">
        <f t="shared" si="208"/>
        <v>140.80000000000001</v>
      </c>
      <c r="M258" s="134">
        <f t="shared" si="209"/>
        <v>140.80000000000001</v>
      </c>
      <c r="N258" s="134">
        <v>393.06</v>
      </c>
      <c r="O258" s="134">
        <f t="shared" si="210"/>
        <v>393.06</v>
      </c>
      <c r="P258" s="134">
        <f t="shared" si="211"/>
        <v>533.86</v>
      </c>
      <c r="Q258" s="164">
        <f t="shared" si="212"/>
        <v>533.86</v>
      </c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  <c r="AB258" s="167"/>
      <c r="AC258" s="167"/>
      <c r="AD258" s="167"/>
      <c r="AE258" s="167"/>
      <c r="AF258" s="167"/>
      <c r="AG258" s="167"/>
      <c r="AH258" s="167"/>
      <c r="AI258" s="167"/>
      <c r="AJ258" s="167"/>
    </row>
    <row r="259" spans="1:36" s="30" customFormat="1" ht="31.2">
      <c r="A259" s="83">
        <f>IF(F259&lt;&gt;"",1+MAX($A$2:A258),"")</f>
        <v>208</v>
      </c>
      <c r="B259" s="84"/>
      <c r="C259" s="85"/>
      <c r="D259" s="58" t="s">
        <v>265</v>
      </c>
      <c r="E259" s="61">
        <v>1</v>
      </c>
      <c r="F259" s="60">
        <v>0</v>
      </c>
      <c r="G259" s="55">
        <f t="shared" si="194"/>
        <v>1</v>
      </c>
      <c r="H259" s="59" t="s">
        <v>71</v>
      </c>
      <c r="I259" s="131">
        <v>1</v>
      </c>
      <c r="J259" s="132">
        <f t="shared" si="201"/>
        <v>1</v>
      </c>
      <c r="K259" s="133">
        <f>'LABOR SHEET'!C$3</f>
        <v>128</v>
      </c>
      <c r="L259" s="134">
        <f t="shared" si="202"/>
        <v>128</v>
      </c>
      <c r="M259" s="134">
        <f t="shared" si="203"/>
        <v>128</v>
      </c>
      <c r="N259" s="134">
        <v>92.75</v>
      </c>
      <c r="O259" s="134">
        <f t="shared" si="204"/>
        <v>92.75</v>
      </c>
      <c r="P259" s="134">
        <f t="shared" si="205"/>
        <v>220.75</v>
      </c>
      <c r="Q259" s="164">
        <f t="shared" si="206"/>
        <v>220.75</v>
      </c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  <c r="AI259" s="167"/>
      <c r="AJ259" s="167"/>
    </row>
    <row r="260" spans="1:36" s="30" customFormat="1" ht="31.2">
      <c r="A260" s="83">
        <f>IF(F260&lt;&gt;"",1+MAX($A$2:A259),"")</f>
        <v>209</v>
      </c>
      <c r="B260" s="84"/>
      <c r="C260" s="85"/>
      <c r="D260" s="58" t="s">
        <v>266</v>
      </c>
      <c r="E260" s="61">
        <v>1</v>
      </c>
      <c r="F260" s="60">
        <v>0</v>
      </c>
      <c r="G260" s="55">
        <f t="shared" si="194"/>
        <v>1</v>
      </c>
      <c r="H260" s="59" t="s">
        <v>71</v>
      </c>
      <c r="I260" s="131">
        <v>1.1000000000000001</v>
      </c>
      <c r="J260" s="132">
        <f t="shared" ref="J260:J261" si="213">+I260*G260</f>
        <v>1.1000000000000001</v>
      </c>
      <c r="K260" s="133">
        <f>'LABOR SHEET'!C$3</f>
        <v>128</v>
      </c>
      <c r="L260" s="134">
        <f t="shared" ref="L260:L261" si="214">I260*K260</f>
        <v>140.80000000000001</v>
      </c>
      <c r="M260" s="134">
        <f t="shared" ref="M260:M261" si="215">K260*J260</f>
        <v>140.80000000000001</v>
      </c>
      <c r="N260" s="134">
        <v>393.06</v>
      </c>
      <c r="O260" s="134">
        <f t="shared" ref="O260:O261" si="216">N260*G260</f>
        <v>393.06</v>
      </c>
      <c r="P260" s="134">
        <f t="shared" ref="P260:P261" si="217">(I260*K260)+N260</f>
        <v>533.86</v>
      </c>
      <c r="Q260" s="164">
        <f t="shared" ref="Q260:Q261" si="218">P260*G260</f>
        <v>533.86</v>
      </c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</row>
    <row r="261" spans="1:36" s="30" customFormat="1" ht="31.2">
      <c r="A261" s="83">
        <f>IF(F261&lt;&gt;"",1+MAX($A$2:A260),"")</f>
        <v>210</v>
      </c>
      <c r="B261" s="84"/>
      <c r="C261" s="85"/>
      <c r="D261" s="58" t="s">
        <v>267</v>
      </c>
      <c r="E261" s="61">
        <v>1</v>
      </c>
      <c r="F261" s="60">
        <v>0</v>
      </c>
      <c r="G261" s="55">
        <f t="shared" si="194"/>
        <v>1</v>
      </c>
      <c r="H261" s="59" t="s">
        <v>71</v>
      </c>
      <c r="I261" s="131">
        <v>1.1000000000000001</v>
      </c>
      <c r="J261" s="132">
        <f t="shared" si="213"/>
        <v>1.1000000000000001</v>
      </c>
      <c r="K261" s="133">
        <f>'LABOR SHEET'!C$3</f>
        <v>128</v>
      </c>
      <c r="L261" s="134">
        <f t="shared" si="214"/>
        <v>140.80000000000001</v>
      </c>
      <c r="M261" s="134">
        <f t="shared" si="215"/>
        <v>140.80000000000001</v>
      </c>
      <c r="N261" s="134">
        <v>393.06</v>
      </c>
      <c r="O261" s="134">
        <f t="shared" si="216"/>
        <v>393.06</v>
      </c>
      <c r="P261" s="134">
        <f t="shared" si="217"/>
        <v>533.86</v>
      </c>
      <c r="Q261" s="164">
        <f t="shared" si="218"/>
        <v>533.86</v>
      </c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  <c r="AB261" s="167"/>
      <c r="AC261" s="167"/>
      <c r="AD261" s="167"/>
      <c r="AE261" s="167"/>
      <c r="AF261" s="167"/>
      <c r="AG261" s="167"/>
      <c r="AH261" s="167"/>
      <c r="AI261" s="167"/>
      <c r="AJ261" s="167"/>
    </row>
    <row r="262" spans="1:36" s="30" customFormat="1" ht="31.2">
      <c r="A262" s="83">
        <f>IF(F262&lt;&gt;"",1+MAX($A$2:A261),"")</f>
        <v>211</v>
      </c>
      <c r="B262" s="84"/>
      <c r="C262" s="85"/>
      <c r="D262" s="58" t="s">
        <v>268</v>
      </c>
      <c r="E262" s="61">
        <v>1</v>
      </c>
      <c r="F262" s="60">
        <v>0</v>
      </c>
      <c r="G262" s="55">
        <f t="shared" si="194"/>
        <v>1</v>
      </c>
      <c r="H262" s="59" t="s">
        <v>71</v>
      </c>
      <c r="I262" s="131">
        <v>1</v>
      </c>
      <c r="J262" s="132">
        <f t="shared" si="201"/>
        <v>1</v>
      </c>
      <c r="K262" s="133">
        <f>'LABOR SHEET'!C$3</f>
        <v>128</v>
      </c>
      <c r="L262" s="134">
        <f t="shared" si="202"/>
        <v>128</v>
      </c>
      <c r="M262" s="134">
        <f t="shared" si="203"/>
        <v>128</v>
      </c>
      <c r="N262" s="134">
        <v>92.75</v>
      </c>
      <c r="O262" s="134">
        <f t="shared" si="204"/>
        <v>92.75</v>
      </c>
      <c r="P262" s="134">
        <f t="shared" si="205"/>
        <v>220.75</v>
      </c>
      <c r="Q262" s="164">
        <f t="shared" si="206"/>
        <v>220.75</v>
      </c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  <c r="AB262" s="167"/>
      <c r="AC262" s="167"/>
      <c r="AD262" s="167"/>
      <c r="AE262" s="167"/>
      <c r="AF262" s="167"/>
      <c r="AG262" s="167"/>
      <c r="AH262" s="167"/>
      <c r="AI262" s="167"/>
      <c r="AJ262" s="167"/>
    </row>
    <row r="263" spans="1:36" s="30" customFormat="1" ht="31.2">
      <c r="A263" s="83">
        <f>IF(F263&lt;&gt;"",1+MAX($A$2:A262),"")</f>
        <v>212</v>
      </c>
      <c r="B263" s="84"/>
      <c r="C263" s="85"/>
      <c r="D263" s="58" t="s">
        <v>269</v>
      </c>
      <c r="E263" s="61">
        <v>1</v>
      </c>
      <c r="F263" s="60">
        <v>0</v>
      </c>
      <c r="G263" s="55">
        <f t="shared" si="194"/>
        <v>1</v>
      </c>
      <c r="H263" s="59" t="s">
        <v>71</v>
      </c>
      <c r="I263" s="131">
        <v>1.1000000000000001</v>
      </c>
      <c r="J263" s="132">
        <f t="shared" ref="J263" si="219">+I263*G263</f>
        <v>1.1000000000000001</v>
      </c>
      <c r="K263" s="133">
        <f>'LABOR SHEET'!C$3</f>
        <v>128</v>
      </c>
      <c r="L263" s="134">
        <f t="shared" ref="L263" si="220">I263*K263</f>
        <v>140.80000000000001</v>
      </c>
      <c r="M263" s="134">
        <f t="shared" ref="M263" si="221">K263*J263</f>
        <v>140.80000000000001</v>
      </c>
      <c r="N263" s="134">
        <v>393.06</v>
      </c>
      <c r="O263" s="134">
        <f t="shared" ref="O263" si="222">N263*G263</f>
        <v>393.06</v>
      </c>
      <c r="P263" s="134">
        <f t="shared" ref="P263" si="223">(I263*K263)+N263</f>
        <v>533.86</v>
      </c>
      <c r="Q263" s="164">
        <f t="shared" ref="Q263" si="224">P263*G263</f>
        <v>533.86</v>
      </c>
      <c r="R263" s="167"/>
      <c r="S263" s="167"/>
      <c r="T263" s="167"/>
      <c r="U263" s="167"/>
      <c r="V263" s="167"/>
      <c r="W263" s="167"/>
      <c r="X263" s="167"/>
      <c r="Y263" s="167"/>
      <c r="Z263" s="167"/>
      <c r="AA263" s="167"/>
      <c r="AB263" s="167"/>
      <c r="AC263" s="167"/>
      <c r="AD263" s="167"/>
      <c r="AE263" s="167"/>
      <c r="AF263" s="167"/>
      <c r="AG263" s="167"/>
      <c r="AH263" s="167"/>
      <c r="AI263" s="167"/>
      <c r="AJ263" s="167"/>
    </row>
    <row r="264" spans="1:36" s="30" customFormat="1" ht="31.2">
      <c r="A264" s="83">
        <f>IF(F264&lt;&gt;"",1+MAX($A$2:A263),"")</f>
        <v>213</v>
      </c>
      <c r="B264" s="84"/>
      <c r="C264" s="85"/>
      <c r="D264" s="58" t="s">
        <v>270</v>
      </c>
      <c r="E264" s="61">
        <v>1</v>
      </c>
      <c r="F264" s="60">
        <v>0</v>
      </c>
      <c r="G264" s="55">
        <f t="shared" si="194"/>
        <v>1</v>
      </c>
      <c r="H264" s="59" t="s">
        <v>71</v>
      </c>
      <c r="I264" s="131">
        <v>1</v>
      </c>
      <c r="J264" s="132">
        <f t="shared" si="201"/>
        <v>1</v>
      </c>
      <c r="K264" s="133">
        <f>'LABOR SHEET'!C$3</f>
        <v>128</v>
      </c>
      <c r="L264" s="134">
        <f t="shared" si="202"/>
        <v>128</v>
      </c>
      <c r="M264" s="134">
        <f t="shared" si="203"/>
        <v>128</v>
      </c>
      <c r="N264" s="134">
        <v>92.75</v>
      </c>
      <c r="O264" s="134">
        <f t="shared" si="204"/>
        <v>92.75</v>
      </c>
      <c r="P264" s="134">
        <f t="shared" si="205"/>
        <v>220.75</v>
      </c>
      <c r="Q264" s="164">
        <f t="shared" si="206"/>
        <v>220.75</v>
      </c>
      <c r="R264" s="167"/>
      <c r="S264" s="167"/>
      <c r="T264" s="167"/>
      <c r="U264" s="167"/>
      <c r="V264" s="167"/>
      <c r="W264" s="167"/>
      <c r="X264" s="167"/>
      <c r="Y264" s="167"/>
      <c r="Z264" s="167"/>
      <c r="AA264" s="167"/>
      <c r="AB264" s="167"/>
      <c r="AC264" s="167"/>
      <c r="AD264" s="167"/>
      <c r="AE264" s="167"/>
      <c r="AF264" s="167"/>
      <c r="AG264" s="167"/>
      <c r="AH264" s="167"/>
      <c r="AI264" s="167"/>
      <c r="AJ264" s="167"/>
    </row>
    <row r="265" spans="1:36" s="30" customFormat="1" ht="31.2">
      <c r="A265" s="83">
        <f>IF(F265&lt;&gt;"",1+MAX($A$2:A264),"")</f>
        <v>214</v>
      </c>
      <c r="B265" s="84"/>
      <c r="C265" s="85"/>
      <c r="D265" s="58" t="s">
        <v>271</v>
      </c>
      <c r="E265" s="61">
        <v>1</v>
      </c>
      <c r="F265" s="60">
        <v>0</v>
      </c>
      <c r="G265" s="55">
        <f t="shared" si="194"/>
        <v>1</v>
      </c>
      <c r="H265" s="59" t="s">
        <v>71</v>
      </c>
      <c r="I265" s="131">
        <v>1.1000000000000001</v>
      </c>
      <c r="J265" s="132">
        <f t="shared" ref="J265:J267" si="225">+I265*G265</f>
        <v>1.1000000000000001</v>
      </c>
      <c r="K265" s="133">
        <f>'LABOR SHEET'!C$3</f>
        <v>128</v>
      </c>
      <c r="L265" s="134">
        <f t="shared" ref="L265:L267" si="226">I265*K265</f>
        <v>140.80000000000001</v>
      </c>
      <c r="M265" s="134">
        <f t="shared" ref="M265:M267" si="227">K265*J265</f>
        <v>140.80000000000001</v>
      </c>
      <c r="N265" s="134">
        <v>393.06</v>
      </c>
      <c r="O265" s="134">
        <f t="shared" ref="O265:O267" si="228">N265*G265</f>
        <v>393.06</v>
      </c>
      <c r="P265" s="134">
        <f t="shared" ref="P265:P267" si="229">(I265*K265)+N265</f>
        <v>533.86</v>
      </c>
      <c r="Q265" s="164">
        <f t="shared" ref="Q265:Q267" si="230">P265*G265</f>
        <v>533.86</v>
      </c>
      <c r="R265" s="167"/>
      <c r="S265" s="167"/>
      <c r="T265" s="167"/>
      <c r="U265" s="167"/>
      <c r="V265" s="167"/>
      <c r="W265" s="167"/>
      <c r="X265" s="167"/>
      <c r="Y265" s="167"/>
      <c r="Z265" s="167"/>
      <c r="AA265" s="167"/>
      <c r="AB265" s="167"/>
      <c r="AC265" s="167"/>
      <c r="AD265" s="167"/>
      <c r="AE265" s="167"/>
      <c r="AF265" s="167"/>
      <c r="AG265" s="167"/>
      <c r="AH265" s="167"/>
      <c r="AI265" s="167"/>
      <c r="AJ265" s="167"/>
    </row>
    <row r="266" spans="1:36" s="30" customFormat="1" ht="31.2">
      <c r="A266" s="83">
        <f>IF(F266&lt;&gt;"",1+MAX($A$2:A265),"")</f>
        <v>215</v>
      </c>
      <c r="B266" s="84"/>
      <c r="C266" s="85"/>
      <c r="D266" s="58" t="s">
        <v>272</v>
      </c>
      <c r="E266" s="61">
        <v>1</v>
      </c>
      <c r="F266" s="60">
        <v>0</v>
      </c>
      <c r="G266" s="55">
        <f t="shared" si="194"/>
        <v>1</v>
      </c>
      <c r="H266" s="59" t="s">
        <v>71</v>
      </c>
      <c r="I266" s="131">
        <v>1.1000000000000001</v>
      </c>
      <c r="J266" s="132">
        <f t="shared" si="225"/>
        <v>1.1000000000000001</v>
      </c>
      <c r="K266" s="133">
        <f>'LABOR SHEET'!C$3</f>
        <v>128</v>
      </c>
      <c r="L266" s="134">
        <f t="shared" si="226"/>
        <v>140.80000000000001</v>
      </c>
      <c r="M266" s="134">
        <f t="shared" si="227"/>
        <v>140.80000000000001</v>
      </c>
      <c r="N266" s="134">
        <v>393.06</v>
      </c>
      <c r="O266" s="134">
        <f t="shared" si="228"/>
        <v>393.06</v>
      </c>
      <c r="P266" s="134">
        <f t="shared" si="229"/>
        <v>533.86</v>
      </c>
      <c r="Q266" s="164">
        <f t="shared" si="230"/>
        <v>533.86</v>
      </c>
      <c r="R266" s="167"/>
      <c r="S266" s="167"/>
      <c r="T266" s="167"/>
      <c r="U266" s="167"/>
      <c r="V266" s="167"/>
      <c r="W266" s="167"/>
      <c r="X266" s="167"/>
      <c r="Y266" s="167"/>
      <c r="Z266" s="167"/>
      <c r="AA266" s="167"/>
      <c r="AB266" s="167"/>
      <c r="AC266" s="167"/>
      <c r="AD266" s="167"/>
      <c r="AE266" s="167"/>
      <c r="AF266" s="167"/>
      <c r="AG266" s="167"/>
      <c r="AH266" s="167"/>
      <c r="AI266" s="167"/>
      <c r="AJ266" s="167"/>
    </row>
    <row r="267" spans="1:36" s="30" customFormat="1" ht="31.2">
      <c r="A267" s="83">
        <f>IF(F267&lt;&gt;"",1+MAX($A$2:A266),"")</f>
        <v>216</v>
      </c>
      <c r="B267" s="84"/>
      <c r="C267" s="85"/>
      <c r="D267" s="58" t="s">
        <v>273</v>
      </c>
      <c r="E267" s="61">
        <v>1</v>
      </c>
      <c r="F267" s="60">
        <v>0</v>
      </c>
      <c r="G267" s="55">
        <f t="shared" si="194"/>
        <v>1</v>
      </c>
      <c r="H267" s="59" t="s">
        <v>71</v>
      </c>
      <c r="I267" s="131">
        <v>1.1000000000000001</v>
      </c>
      <c r="J267" s="132">
        <f t="shared" si="225"/>
        <v>1.1000000000000001</v>
      </c>
      <c r="K267" s="133">
        <f>'LABOR SHEET'!C$3</f>
        <v>128</v>
      </c>
      <c r="L267" s="134">
        <f t="shared" si="226"/>
        <v>140.80000000000001</v>
      </c>
      <c r="M267" s="134">
        <f t="shared" si="227"/>
        <v>140.80000000000001</v>
      </c>
      <c r="N267" s="134">
        <v>393.06</v>
      </c>
      <c r="O267" s="134">
        <f t="shared" si="228"/>
        <v>393.06</v>
      </c>
      <c r="P267" s="134">
        <f t="shared" si="229"/>
        <v>533.86</v>
      </c>
      <c r="Q267" s="164">
        <f t="shared" si="230"/>
        <v>533.86</v>
      </c>
      <c r="R267" s="167"/>
      <c r="S267" s="167"/>
      <c r="T267" s="167"/>
      <c r="U267" s="167"/>
      <c r="V267" s="167"/>
      <c r="W267" s="167"/>
      <c r="X267" s="167"/>
      <c r="Y267" s="167"/>
      <c r="Z267" s="167"/>
      <c r="AA267" s="167"/>
      <c r="AB267" s="167"/>
      <c r="AC267" s="167"/>
      <c r="AD267" s="167"/>
      <c r="AE267" s="167"/>
      <c r="AF267" s="167"/>
      <c r="AG267" s="167"/>
      <c r="AH267" s="167"/>
      <c r="AI267" s="167"/>
      <c r="AJ267" s="167"/>
    </row>
    <row r="268" spans="1:36" s="30" customFormat="1" ht="31.2">
      <c r="A268" s="83">
        <f>IF(F268&lt;&gt;"",1+MAX($A$2:A267),"")</f>
        <v>217</v>
      </c>
      <c r="B268" s="84"/>
      <c r="C268" s="85"/>
      <c r="D268" s="58" t="s">
        <v>274</v>
      </c>
      <c r="E268" s="61">
        <v>2</v>
      </c>
      <c r="F268" s="60">
        <v>0</v>
      </c>
      <c r="G268" s="55">
        <f t="shared" si="194"/>
        <v>2</v>
      </c>
      <c r="H268" s="59" t="s">
        <v>71</v>
      </c>
      <c r="I268" s="131">
        <v>0.55000000000000004</v>
      </c>
      <c r="J268" s="132">
        <f t="shared" si="201"/>
        <v>1.1000000000000001</v>
      </c>
      <c r="K268" s="133">
        <f>'LABOR SHEET'!C$3</f>
        <v>128</v>
      </c>
      <c r="L268" s="134">
        <f t="shared" si="202"/>
        <v>70.400000000000006</v>
      </c>
      <c r="M268" s="134">
        <f t="shared" si="203"/>
        <v>140.80000000000001</v>
      </c>
      <c r="N268" s="134">
        <v>62.25</v>
      </c>
      <c r="O268" s="134">
        <f t="shared" si="204"/>
        <v>124.5</v>
      </c>
      <c r="P268" s="134">
        <f t="shared" si="205"/>
        <v>132.65</v>
      </c>
      <c r="Q268" s="164">
        <f t="shared" si="206"/>
        <v>265.3</v>
      </c>
      <c r="R268" s="167"/>
      <c r="S268" s="167"/>
      <c r="T268" s="167"/>
      <c r="U268" s="167"/>
      <c r="V268" s="167"/>
      <c r="W268" s="167"/>
      <c r="X268" s="167"/>
      <c r="Y268" s="167"/>
      <c r="Z268" s="167"/>
      <c r="AA268" s="167"/>
      <c r="AB268" s="167"/>
      <c r="AC268" s="167"/>
      <c r="AD268" s="167"/>
      <c r="AE268" s="167"/>
      <c r="AF268" s="167"/>
      <c r="AG268" s="167"/>
      <c r="AH268" s="167"/>
      <c r="AI268" s="167"/>
      <c r="AJ268" s="167"/>
    </row>
    <row r="269" spans="1:36" s="30" customFormat="1" ht="31.2">
      <c r="A269" s="83">
        <f>IF(F269&lt;&gt;"",1+MAX($A$2:A268),"")</f>
        <v>218</v>
      </c>
      <c r="B269" s="84"/>
      <c r="C269" s="85"/>
      <c r="D269" s="58" t="s">
        <v>275</v>
      </c>
      <c r="E269" s="61">
        <v>13</v>
      </c>
      <c r="F269" s="60">
        <v>0</v>
      </c>
      <c r="G269" s="55">
        <f t="shared" si="194"/>
        <v>13</v>
      </c>
      <c r="H269" s="59" t="s">
        <v>71</v>
      </c>
      <c r="I269" s="131">
        <v>0.55000000000000004</v>
      </c>
      <c r="J269" s="132">
        <f t="shared" ref="J269:J270" si="231">+I269*G269</f>
        <v>7.15</v>
      </c>
      <c r="K269" s="133">
        <f>'LABOR SHEET'!C$3</f>
        <v>128</v>
      </c>
      <c r="L269" s="134">
        <f t="shared" ref="L269:L270" si="232">I269*K269</f>
        <v>70.400000000000006</v>
      </c>
      <c r="M269" s="134">
        <f t="shared" ref="M269:M270" si="233">K269*J269</f>
        <v>915.2</v>
      </c>
      <c r="N269" s="134">
        <v>89.9</v>
      </c>
      <c r="O269" s="134">
        <f t="shared" ref="O269:O270" si="234">N269*G269</f>
        <v>1168.7</v>
      </c>
      <c r="P269" s="134">
        <f t="shared" ref="P269:P270" si="235">(I269*K269)+N269</f>
        <v>160.30000000000001</v>
      </c>
      <c r="Q269" s="164">
        <f t="shared" ref="Q269:Q270" si="236">P269*G269</f>
        <v>2083.9</v>
      </c>
      <c r="R269" s="167"/>
      <c r="S269" s="167"/>
      <c r="T269" s="167"/>
      <c r="U269" s="167"/>
      <c r="V269" s="167"/>
      <c r="W269" s="167"/>
      <c r="X269" s="167"/>
      <c r="Y269" s="167"/>
      <c r="Z269" s="167"/>
      <c r="AA269" s="167"/>
      <c r="AB269" s="167"/>
      <c r="AC269" s="167"/>
      <c r="AD269" s="167"/>
      <c r="AE269" s="167"/>
      <c r="AF269" s="167"/>
      <c r="AG269" s="167"/>
      <c r="AH269" s="167"/>
      <c r="AI269" s="167"/>
      <c r="AJ269" s="167"/>
    </row>
    <row r="270" spans="1:36" s="30" customFormat="1">
      <c r="A270" s="83">
        <f>IF(F270&lt;&gt;"",1+MAX($A$2:A269),"")</f>
        <v>219</v>
      </c>
      <c r="B270" s="84"/>
      <c r="C270" s="85"/>
      <c r="D270" s="58" t="s">
        <v>276</v>
      </c>
      <c r="E270" s="61">
        <v>2</v>
      </c>
      <c r="F270" s="60">
        <v>0</v>
      </c>
      <c r="G270" s="55">
        <f t="shared" si="194"/>
        <v>2</v>
      </c>
      <c r="H270" s="59" t="s">
        <v>71</v>
      </c>
      <c r="I270" s="131">
        <v>0.55000000000000004</v>
      </c>
      <c r="J270" s="132">
        <f t="shared" si="231"/>
        <v>1.1000000000000001</v>
      </c>
      <c r="K270" s="133">
        <f>'LABOR SHEET'!C$3</f>
        <v>128</v>
      </c>
      <c r="L270" s="134">
        <f t="shared" si="232"/>
        <v>70.400000000000006</v>
      </c>
      <c r="M270" s="134">
        <f t="shared" si="233"/>
        <v>140.80000000000001</v>
      </c>
      <c r="N270" s="134">
        <v>89.9</v>
      </c>
      <c r="O270" s="134">
        <f t="shared" si="234"/>
        <v>179.8</v>
      </c>
      <c r="P270" s="134">
        <f t="shared" si="235"/>
        <v>160.30000000000001</v>
      </c>
      <c r="Q270" s="164">
        <f t="shared" si="236"/>
        <v>320.60000000000002</v>
      </c>
      <c r="R270" s="167"/>
      <c r="S270" s="167"/>
      <c r="T270" s="167"/>
      <c r="U270" s="167"/>
      <c r="V270" s="167"/>
      <c r="W270" s="167"/>
      <c r="X270" s="167"/>
      <c r="Y270" s="167"/>
      <c r="Z270" s="167"/>
      <c r="AA270" s="167"/>
      <c r="AB270" s="167"/>
      <c r="AC270" s="167"/>
      <c r="AD270" s="167"/>
      <c r="AE270" s="167"/>
      <c r="AF270" s="167"/>
      <c r="AG270" s="167"/>
      <c r="AH270" s="167"/>
      <c r="AI270" s="167"/>
      <c r="AJ270" s="167"/>
    </row>
    <row r="271" spans="1:36" s="30" customFormat="1">
      <c r="A271" s="83" t="str">
        <f>IF(F271&lt;&gt;"",1+MAX($A$2:A270),"")</f>
        <v/>
      </c>
      <c r="B271" s="84"/>
      <c r="C271" s="85"/>
      <c r="D271" s="58"/>
      <c r="E271" s="61"/>
      <c r="F271" s="86"/>
      <c r="G271" s="87"/>
      <c r="H271" s="59"/>
      <c r="I271" s="131"/>
      <c r="J271" s="132"/>
      <c r="K271" s="133"/>
      <c r="L271" s="134"/>
      <c r="M271" s="134"/>
      <c r="N271" s="134"/>
      <c r="O271" s="134"/>
      <c r="P271" s="134"/>
      <c r="Q271" s="165"/>
      <c r="R271" s="167"/>
      <c r="S271" s="167"/>
      <c r="T271" s="167"/>
      <c r="U271" s="167"/>
      <c r="V271" s="167"/>
      <c r="W271" s="167"/>
      <c r="X271" s="167"/>
      <c r="Y271" s="167"/>
      <c r="Z271" s="167"/>
      <c r="AA271" s="167"/>
      <c r="AB271" s="167"/>
      <c r="AC271" s="167"/>
      <c r="AD271" s="167"/>
      <c r="AE271" s="167"/>
      <c r="AF271" s="167"/>
      <c r="AG271" s="167"/>
      <c r="AH271" s="167"/>
      <c r="AI271" s="167"/>
      <c r="AJ271" s="167"/>
    </row>
    <row r="272" spans="1:36" s="30" customFormat="1">
      <c r="A272" s="83" t="str">
        <f>IF(F272&lt;&gt;"",1+MAX($A$2:A271),"")</f>
        <v/>
      </c>
      <c r="B272" s="84"/>
      <c r="C272" s="85"/>
      <c r="D272" s="79" t="s">
        <v>277</v>
      </c>
      <c r="E272" s="61"/>
      <c r="F272" s="86"/>
      <c r="G272" s="87"/>
      <c r="H272" s="59"/>
      <c r="I272" s="131"/>
      <c r="J272" s="132"/>
      <c r="K272" s="133"/>
      <c r="L272" s="134"/>
      <c r="M272" s="134"/>
      <c r="N272" s="134"/>
      <c r="O272" s="134"/>
      <c r="P272" s="134"/>
      <c r="Q272" s="165"/>
      <c r="R272" s="167"/>
      <c r="S272" s="167"/>
      <c r="T272" s="167"/>
      <c r="U272" s="167"/>
      <c r="V272" s="167"/>
      <c r="W272" s="167"/>
      <c r="X272" s="167"/>
      <c r="Y272" s="167"/>
      <c r="Z272" s="167"/>
      <c r="AA272" s="167"/>
      <c r="AB272" s="167"/>
      <c r="AC272" s="167"/>
      <c r="AD272" s="167"/>
      <c r="AE272" s="167"/>
      <c r="AF272" s="167"/>
      <c r="AG272" s="167"/>
      <c r="AH272" s="167"/>
      <c r="AI272" s="167"/>
      <c r="AJ272" s="167"/>
    </row>
    <row r="273" spans="1:36" s="30" customFormat="1">
      <c r="A273" s="83">
        <f>IF(F273&lt;&gt;"",1+MAX($A$2:A272),"")</f>
        <v>220</v>
      </c>
      <c r="B273" s="84"/>
      <c r="C273" s="85"/>
      <c r="D273" s="58" t="s">
        <v>278</v>
      </c>
      <c r="E273" s="61">
        <v>1480</v>
      </c>
      <c r="F273" s="60">
        <v>0.05</v>
      </c>
      <c r="G273" s="55">
        <f t="shared" ref="G273:G275" si="237">(F273*E273)+E273</f>
        <v>1554</v>
      </c>
      <c r="H273" s="59" t="s">
        <v>54</v>
      </c>
      <c r="I273" s="131">
        <v>0.01</v>
      </c>
      <c r="J273" s="132">
        <f t="shared" ref="J273:J275" si="238">+I273*G273</f>
        <v>15.54</v>
      </c>
      <c r="K273" s="133">
        <f>'LABOR SHEET'!C$3</f>
        <v>128</v>
      </c>
      <c r="L273" s="134">
        <f t="shared" ref="L273:L275" si="239">I273*K273</f>
        <v>1.28</v>
      </c>
      <c r="M273" s="134">
        <f t="shared" ref="M273:M275" si="240">K273*J273</f>
        <v>1989.12</v>
      </c>
      <c r="N273" s="134">
        <v>2.25</v>
      </c>
      <c r="O273" s="134">
        <f t="shared" ref="O273:O275" si="241">N273*G273</f>
        <v>3496.5</v>
      </c>
      <c r="P273" s="134">
        <f t="shared" ref="P273:P275" si="242">(I273*K273)+N273</f>
        <v>3.53</v>
      </c>
      <c r="Q273" s="164">
        <f t="shared" ref="Q273:Q275" si="243">P273*G273</f>
        <v>5485.62</v>
      </c>
      <c r="R273" s="167"/>
      <c r="S273" s="167"/>
      <c r="T273" s="167"/>
      <c r="U273" s="167"/>
      <c r="V273" s="167"/>
      <c r="W273" s="167"/>
      <c r="X273" s="167"/>
      <c r="Y273" s="167"/>
      <c r="Z273" s="167"/>
      <c r="AA273" s="167"/>
      <c r="AB273" s="167"/>
      <c r="AC273" s="167"/>
      <c r="AD273" s="167"/>
      <c r="AE273" s="167"/>
      <c r="AF273" s="167"/>
      <c r="AG273" s="167"/>
      <c r="AH273" s="167"/>
      <c r="AI273" s="167"/>
      <c r="AJ273" s="167"/>
    </row>
    <row r="274" spans="1:36" s="30" customFormat="1">
      <c r="A274" s="83">
        <f>IF(F274&lt;&gt;"",1+MAX($A$2:A273),"")</f>
        <v>221</v>
      </c>
      <c r="B274" s="84"/>
      <c r="C274" s="85"/>
      <c r="D274" s="58" t="s">
        <v>279</v>
      </c>
      <c r="E274" s="61">
        <v>370</v>
      </c>
      <c r="F274" s="60">
        <v>0</v>
      </c>
      <c r="G274" s="55">
        <f t="shared" si="237"/>
        <v>370</v>
      </c>
      <c r="H274" s="59" t="s">
        <v>71</v>
      </c>
      <c r="I274" s="131">
        <v>0.1</v>
      </c>
      <c r="J274" s="132">
        <f t="shared" si="238"/>
        <v>37</v>
      </c>
      <c r="K274" s="133">
        <f>'LABOR SHEET'!C$3</f>
        <v>128</v>
      </c>
      <c r="L274" s="134">
        <f t="shared" si="239"/>
        <v>12.8</v>
      </c>
      <c r="M274" s="134">
        <f t="shared" si="240"/>
        <v>4736</v>
      </c>
      <c r="N274" s="134">
        <v>4.9800000000000004</v>
      </c>
      <c r="O274" s="134">
        <f t="shared" si="241"/>
        <v>1842.6</v>
      </c>
      <c r="P274" s="134">
        <f t="shared" si="242"/>
        <v>17.78</v>
      </c>
      <c r="Q274" s="164">
        <f t="shared" si="243"/>
        <v>6578.6</v>
      </c>
      <c r="R274" s="167"/>
      <c r="S274" s="167"/>
      <c r="T274" s="167"/>
      <c r="U274" s="167"/>
      <c r="V274" s="167"/>
      <c r="W274" s="167"/>
      <c r="X274" s="167"/>
      <c r="Y274" s="167"/>
      <c r="Z274" s="167"/>
      <c r="AA274" s="167"/>
      <c r="AB274" s="167"/>
      <c r="AC274" s="167"/>
      <c r="AD274" s="167"/>
      <c r="AE274" s="167"/>
      <c r="AF274" s="167"/>
      <c r="AG274" s="167"/>
      <c r="AH274" s="167"/>
      <c r="AI274" s="167"/>
      <c r="AJ274" s="167"/>
    </row>
    <row r="275" spans="1:36" s="30" customFormat="1">
      <c r="A275" s="83">
        <f>IF(F275&lt;&gt;"",1+MAX($A$2:A274),"")</f>
        <v>222</v>
      </c>
      <c r="B275" s="84"/>
      <c r="C275" s="85"/>
      <c r="D275" s="58" t="s">
        <v>280</v>
      </c>
      <c r="E275" s="61">
        <v>130</v>
      </c>
      <c r="F275" s="60">
        <v>0</v>
      </c>
      <c r="G275" s="55">
        <f t="shared" si="237"/>
        <v>130</v>
      </c>
      <c r="H275" s="59" t="s">
        <v>71</v>
      </c>
      <c r="I275" s="131">
        <v>0.3</v>
      </c>
      <c r="J275" s="132">
        <f t="shared" si="238"/>
        <v>39</v>
      </c>
      <c r="K275" s="133">
        <f>'LABOR SHEET'!C$3</f>
        <v>128</v>
      </c>
      <c r="L275" s="134">
        <f t="shared" si="239"/>
        <v>38.4</v>
      </c>
      <c r="M275" s="134">
        <f t="shared" si="240"/>
        <v>4992</v>
      </c>
      <c r="N275" s="134">
        <v>30</v>
      </c>
      <c r="O275" s="134">
        <f t="shared" si="241"/>
        <v>3900</v>
      </c>
      <c r="P275" s="134">
        <f t="shared" si="242"/>
        <v>68.400000000000006</v>
      </c>
      <c r="Q275" s="164">
        <f t="shared" si="243"/>
        <v>8892</v>
      </c>
      <c r="R275" s="167"/>
      <c r="S275" s="167"/>
      <c r="T275" s="167"/>
      <c r="U275" s="167"/>
      <c r="V275" s="167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  <c r="AI275" s="167"/>
      <c r="AJ275" s="167"/>
    </row>
    <row r="276" spans="1:36" s="30" customFormat="1">
      <c r="A276" s="83" t="str">
        <f>IF(F276&lt;&gt;"",1+MAX($A$2:A275),"")</f>
        <v/>
      </c>
      <c r="B276" s="84"/>
      <c r="C276" s="85"/>
      <c r="D276" s="58"/>
      <c r="E276" s="61"/>
      <c r="F276" s="86"/>
      <c r="G276" s="87"/>
      <c r="H276" s="59"/>
      <c r="I276" s="131"/>
      <c r="J276" s="132"/>
      <c r="K276" s="133"/>
      <c r="L276" s="134"/>
      <c r="M276" s="134"/>
      <c r="N276" s="134"/>
      <c r="O276" s="134"/>
      <c r="P276" s="134"/>
      <c r="Q276" s="165"/>
      <c r="R276" s="167"/>
      <c r="S276" s="167"/>
      <c r="T276" s="167"/>
      <c r="U276" s="167"/>
      <c r="V276" s="167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  <c r="AI276" s="167"/>
      <c r="AJ276" s="167"/>
    </row>
    <row r="277" spans="1:36" s="30" customFormat="1">
      <c r="A277" s="83" t="str">
        <f>IF(F277&lt;&gt;"",1+MAX($A$2:A276),"")</f>
        <v/>
      </c>
      <c r="B277" s="84"/>
      <c r="C277" s="179"/>
      <c r="D277" s="71" t="s">
        <v>48</v>
      </c>
      <c r="E277" s="180"/>
      <c r="F277" s="180"/>
      <c r="G277" s="181"/>
      <c r="H277" s="180"/>
      <c r="I277" s="180"/>
      <c r="J277" s="187"/>
      <c r="K277" s="187"/>
      <c r="L277" s="188"/>
      <c r="M277" s="189"/>
      <c r="N277" s="188"/>
      <c r="O277" s="188"/>
      <c r="P277" s="190"/>
      <c r="Q277" s="159">
        <f>SUM(Q17:Q276)</f>
        <v>2090736.68845995</v>
      </c>
      <c r="S277" s="162"/>
    </row>
    <row r="278" spans="1:36" s="27" customFormat="1">
      <c r="A278" s="83" t="str">
        <f>IF(F278&lt;&gt;"",1+MAX($A$2:A277),"")</f>
        <v/>
      </c>
      <c r="B278" s="69"/>
      <c r="C278" s="70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161"/>
      <c r="R278" s="160"/>
    </row>
    <row r="279" spans="1:36" s="30" customFormat="1">
      <c r="A279" s="74" t="str">
        <f>IF(F279&lt;&gt;"",1+MAX($A$2:A278),"")</f>
        <v/>
      </c>
      <c r="B279" s="47"/>
      <c r="C279" s="75">
        <v>27</v>
      </c>
      <c r="D279" s="49" t="s">
        <v>281</v>
      </c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177"/>
      <c r="S279" s="162"/>
    </row>
    <row r="280" spans="1:36" s="30" customFormat="1">
      <c r="A280" s="83" t="str">
        <f>IF(F280&lt;&gt;"",1+MAX($A$2:A279),"")</f>
        <v/>
      </c>
      <c r="B280" s="84"/>
      <c r="C280" s="85"/>
      <c r="D280" s="49" t="s">
        <v>282</v>
      </c>
      <c r="E280" s="61"/>
      <c r="F280" s="86"/>
      <c r="G280" s="87"/>
      <c r="H280" s="59"/>
      <c r="I280" s="131"/>
      <c r="J280" s="132"/>
      <c r="K280" s="133"/>
      <c r="L280" s="134"/>
      <c r="M280" s="134"/>
      <c r="N280" s="134"/>
      <c r="O280" s="134"/>
      <c r="P280" s="134"/>
      <c r="Q280" s="165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</row>
    <row r="281" spans="1:36" s="30" customFormat="1">
      <c r="A281" s="83" t="str">
        <f>IF(F281&lt;&gt;"",1+MAX($A$2:A280),"")</f>
        <v/>
      </c>
      <c r="B281" s="84"/>
      <c r="C281" s="85"/>
      <c r="D281" s="79" t="s">
        <v>283</v>
      </c>
      <c r="E281" s="61"/>
      <c r="F281" s="86"/>
      <c r="G281" s="87"/>
      <c r="H281" s="59"/>
      <c r="I281" s="131"/>
      <c r="J281" s="132"/>
      <c r="K281" s="133"/>
      <c r="L281" s="134"/>
      <c r="M281" s="134"/>
      <c r="N281" s="134"/>
      <c r="O281" s="134"/>
      <c r="P281" s="134"/>
      <c r="Q281" s="165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</row>
    <row r="282" spans="1:36" s="30" customFormat="1">
      <c r="A282" s="83">
        <f>IF(F282&lt;&gt;"",1+MAX($A$2:A281),"")</f>
        <v>223</v>
      </c>
      <c r="B282" s="84"/>
      <c r="C282" s="85"/>
      <c r="D282" s="58" t="s">
        <v>53</v>
      </c>
      <c r="E282" s="61">
        <v>323.52999999999997</v>
      </c>
      <c r="F282" s="60">
        <v>0.05</v>
      </c>
      <c r="G282" s="55">
        <f t="shared" ref="G282:G288" si="244">(F282*E282)+E282</f>
        <v>339.70650000000001</v>
      </c>
      <c r="H282" s="59" t="s">
        <v>54</v>
      </c>
      <c r="I282" s="131">
        <v>0.14599999999999999</v>
      </c>
      <c r="J282" s="132">
        <f t="shared" ref="J282:J283" si="245">+I282*G282</f>
        <v>49.597149000000002</v>
      </c>
      <c r="K282" s="133">
        <f>'LABOR SHEET'!C$3</f>
        <v>128</v>
      </c>
      <c r="L282" s="134">
        <f t="shared" ref="L282:L283" si="246">I282*K282</f>
        <v>18.687999999999999</v>
      </c>
      <c r="M282" s="134">
        <f t="shared" ref="M282:M283" si="247">K282*J282</f>
        <v>6348.4350720000002</v>
      </c>
      <c r="N282" s="134">
        <f>138.78/10+1</f>
        <v>14.878</v>
      </c>
      <c r="O282" s="134">
        <f t="shared" ref="O282:O283" si="248">N282*G282</f>
        <v>5054.1533069999996</v>
      </c>
      <c r="P282" s="134">
        <f t="shared" ref="P282:P283" si="249">(I282*K282)+N282</f>
        <v>33.566000000000003</v>
      </c>
      <c r="Q282" s="164">
        <f t="shared" ref="Q282:Q283" si="250">P282*G282</f>
        <v>11402.588379000001</v>
      </c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</row>
    <row r="283" spans="1:36" s="30" customFormat="1">
      <c r="A283" s="83">
        <f>IF(F283&lt;&gt;"",1+MAX($A$2:A282),"")</f>
        <v>224</v>
      </c>
      <c r="B283" s="84"/>
      <c r="C283" s="85"/>
      <c r="D283" s="58" t="s">
        <v>55</v>
      </c>
      <c r="E283" s="61">
        <v>1440.81</v>
      </c>
      <c r="F283" s="60">
        <v>0.05</v>
      </c>
      <c r="G283" s="55">
        <f t="shared" si="244"/>
        <v>1512.8505</v>
      </c>
      <c r="H283" s="59" t="s">
        <v>54</v>
      </c>
      <c r="I283" s="131">
        <v>0.115</v>
      </c>
      <c r="J283" s="132">
        <f t="shared" si="245"/>
        <v>173.97780750000001</v>
      </c>
      <c r="K283" s="133">
        <f>'LABOR SHEET'!C$3</f>
        <v>128</v>
      </c>
      <c r="L283" s="134">
        <f t="shared" si="246"/>
        <v>14.72</v>
      </c>
      <c r="M283" s="134">
        <f t="shared" si="247"/>
        <v>22269.159360000001</v>
      </c>
      <c r="N283" s="134">
        <v>9.27</v>
      </c>
      <c r="O283" s="134">
        <f t="shared" si="248"/>
        <v>14024.124135</v>
      </c>
      <c r="P283" s="134">
        <f t="shared" si="249"/>
        <v>23.99</v>
      </c>
      <c r="Q283" s="164">
        <f t="shared" si="250"/>
        <v>36293.283495000003</v>
      </c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</row>
    <row r="284" spans="1:36" s="30" customFormat="1">
      <c r="A284" s="83">
        <f>IF(F284&lt;&gt;"",1+MAX($A$2:A283),"")</f>
        <v>225</v>
      </c>
      <c r="B284" s="84"/>
      <c r="C284" s="85"/>
      <c r="D284" s="58" t="s">
        <v>162</v>
      </c>
      <c r="E284" s="61">
        <v>150</v>
      </c>
      <c r="F284" s="60">
        <v>0.05</v>
      </c>
      <c r="G284" s="55">
        <f t="shared" si="244"/>
        <v>157.5</v>
      </c>
      <c r="H284" s="59" t="s">
        <v>54</v>
      </c>
      <c r="I284" s="131">
        <v>7.0000000000000007E-2</v>
      </c>
      <c r="J284" s="132">
        <f t="shared" ref="J284:J288" si="251">+I284*G284</f>
        <v>11.025</v>
      </c>
      <c r="K284" s="133">
        <f>'LABOR SHEET'!C$3</f>
        <v>128</v>
      </c>
      <c r="L284" s="134">
        <f t="shared" ref="L284:L288" si="252">I284*K284</f>
        <v>8.9600000000000009</v>
      </c>
      <c r="M284" s="134">
        <f t="shared" ref="M284:M288" si="253">K284*J284</f>
        <v>1411.2</v>
      </c>
      <c r="N284" s="134">
        <f>28.95/10+0.4</f>
        <v>3.2949999999999999</v>
      </c>
      <c r="O284" s="134">
        <f t="shared" ref="O284:O288" si="254">N284*G284</f>
        <v>518.96249999999998</v>
      </c>
      <c r="P284" s="134">
        <f t="shared" ref="P284:P288" si="255">(I284*K284)+N284</f>
        <v>12.255000000000001</v>
      </c>
      <c r="Q284" s="164">
        <f t="shared" ref="Q284:Q288" si="256">P284*G284</f>
        <v>1930.1624999999999</v>
      </c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</row>
    <row r="285" spans="1:36" s="30" customFormat="1">
      <c r="A285" s="83">
        <f>IF(F285&lt;&gt;"",1+MAX($A$2:A284),"")</f>
        <v>226</v>
      </c>
      <c r="B285" s="84"/>
      <c r="C285" s="85"/>
      <c r="D285" s="58" t="s">
        <v>165</v>
      </c>
      <c r="E285" s="61">
        <v>204.01</v>
      </c>
      <c r="F285" s="60">
        <v>0.05</v>
      </c>
      <c r="G285" s="55">
        <f t="shared" si="244"/>
        <v>214.2105</v>
      </c>
      <c r="H285" s="59" t="s">
        <v>54</v>
      </c>
      <c r="I285" s="131">
        <v>0.08</v>
      </c>
      <c r="J285" s="132">
        <f t="shared" si="251"/>
        <v>17.136839999999999</v>
      </c>
      <c r="K285" s="133">
        <f>'LABOR SHEET'!C$3</f>
        <v>128</v>
      </c>
      <c r="L285" s="134">
        <f t="shared" si="252"/>
        <v>10.24</v>
      </c>
      <c r="M285" s="134">
        <f t="shared" si="253"/>
        <v>2193.5155199999999</v>
      </c>
      <c r="N285" s="134">
        <f>18.98/10+0.3</f>
        <v>2.198</v>
      </c>
      <c r="O285" s="134">
        <f t="shared" si="254"/>
        <v>470.83467899999999</v>
      </c>
      <c r="P285" s="134">
        <f t="shared" si="255"/>
        <v>12.438000000000001</v>
      </c>
      <c r="Q285" s="164">
        <f t="shared" si="256"/>
        <v>2664.350199</v>
      </c>
      <c r="R285" s="167"/>
      <c r="S285" s="167"/>
      <c r="T285" s="167"/>
      <c r="U285" s="167"/>
      <c r="V285" s="167"/>
      <c r="W285" s="167"/>
      <c r="X285" s="167"/>
      <c r="Y285" s="167"/>
      <c r="Z285" s="167"/>
      <c r="AA285" s="167"/>
      <c r="AB285" s="167"/>
      <c r="AC285" s="167"/>
      <c r="AD285" s="167"/>
      <c r="AE285" s="167"/>
      <c r="AF285" s="167"/>
      <c r="AG285" s="167"/>
      <c r="AH285" s="167"/>
      <c r="AI285" s="167"/>
      <c r="AJ285" s="167"/>
    </row>
    <row r="286" spans="1:36" s="30" customFormat="1">
      <c r="A286" s="83">
        <f>IF(F286&lt;&gt;"",1+MAX($A$2:A285),"")</f>
        <v>227</v>
      </c>
      <c r="B286" s="84"/>
      <c r="C286" s="85"/>
      <c r="D286" s="58" t="s">
        <v>166</v>
      </c>
      <c r="E286" s="61">
        <v>1770</v>
      </c>
      <c r="F286" s="60">
        <v>0.05</v>
      </c>
      <c r="G286" s="55">
        <f t="shared" si="244"/>
        <v>1858.5</v>
      </c>
      <c r="H286" s="59" t="s">
        <v>54</v>
      </c>
      <c r="I286" s="131">
        <v>6.4000000000000001E-2</v>
      </c>
      <c r="J286" s="132">
        <f t="shared" si="251"/>
        <v>118.944</v>
      </c>
      <c r="K286" s="133">
        <f>'LABOR SHEET'!C$3</f>
        <v>128</v>
      </c>
      <c r="L286" s="134">
        <f t="shared" si="252"/>
        <v>8.1920000000000002</v>
      </c>
      <c r="M286" s="134">
        <f t="shared" si="253"/>
        <v>15224.832</v>
      </c>
      <c r="N286" s="134">
        <f>17.58/10+0.4</f>
        <v>2.1579999999999999</v>
      </c>
      <c r="O286" s="134">
        <f t="shared" si="254"/>
        <v>4010.643</v>
      </c>
      <c r="P286" s="134">
        <f t="shared" si="255"/>
        <v>10.35</v>
      </c>
      <c r="Q286" s="164">
        <f t="shared" si="256"/>
        <v>19235.474999999999</v>
      </c>
      <c r="R286" s="167"/>
      <c r="S286" s="167"/>
      <c r="T286" s="167"/>
      <c r="U286" s="167"/>
      <c r="V286" s="167"/>
      <c r="W286" s="167"/>
      <c r="X286" s="167"/>
      <c r="Y286" s="167"/>
      <c r="Z286" s="167"/>
      <c r="AA286" s="167"/>
      <c r="AB286" s="167"/>
      <c r="AC286" s="167"/>
      <c r="AD286" s="167"/>
      <c r="AE286" s="167"/>
      <c r="AF286" s="167"/>
      <c r="AG286" s="167"/>
      <c r="AH286" s="167"/>
      <c r="AI286" s="167"/>
      <c r="AJ286" s="167"/>
    </row>
    <row r="287" spans="1:36" s="30" customFormat="1">
      <c r="A287" s="83">
        <f>IF(F287&lt;&gt;"",1+MAX($A$2:A286),"")</f>
        <v>228</v>
      </c>
      <c r="B287" s="84"/>
      <c r="C287" s="85"/>
      <c r="D287" s="58" t="s">
        <v>156</v>
      </c>
      <c r="E287" s="61">
        <v>961.85</v>
      </c>
      <c r="F287" s="60">
        <v>0.05</v>
      </c>
      <c r="G287" s="55">
        <f t="shared" si="244"/>
        <v>1009.9425</v>
      </c>
      <c r="H287" s="59" t="s">
        <v>54</v>
      </c>
      <c r="I287" s="131">
        <v>0.05</v>
      </c>
      <c r="J287" s="132">
        <f t="shared" si="251"/>
        <v>50.497124999999997</v>
      </c>
      <c r="K287" s="133">
        <f>'LABOR SHEET'!C$3</f>
        <v>128</v>
      </c>
      <c r="L287" s="134">
        <f t="shared" si="252"/>
        <v>6.4</v>
      </c>
      <c r="M287" s="134">
        <f t="shared" si="253"/>
        <v>6463.6319999999996</v>
      </c>
      <c r="N287" s="134">
        <f>11.46/10+0.25</f>
        <v>1.3959999999999999</v>
      </c>
      <c r="O287" s="134">
        <f t="shared" si="254"/>
        <v>1409.8797300000001</v>
      </c>
      <c r="P287" s="134">
        <f t="shared" si="255"/>
        <v>7.7960000000000003</v>
      </c>
      <c r="Q287" s="164">
        <f t="shared" si="256"/>
        <v>7873.5117300000002</v>
      </c>
      <c r="R287" s="167"/>
      <c r="S287" s="167"/>
      <c r="T287" s="167"/>
      <c r="U287" s="167"/>
      <c r="V287" s="167"/>
      <c r="W287" s="167"/>
      <c r="X287" s="167"/>
      <c r="Y287" s="167"/>
      <c r="Z287" s="167"/>
      <c r="AA287" s="167"/>
      <c r="AB287" s="167"/>
      <c r="AC287" s="167"/>
      <c r="AD287" s="167"/>
      <c r="AE287" s="167"/>
      <c r="AF287" s="167"/>
      <c r="AG287" s="167"/>
      <c r="AH287" s="167"/>
      <c r="AI287" s="167"/>
      <c r="AJ287" s="167"/>
    </row>
    <row r="288" spans="1:36" s="30" customFormat="1">
      <c r="A288" s="83">
        <f>IF(F288&lt;&gt;"",1+MAX($A$2:A287),"")</f>
        <v>229</v>
      </c>
      <c r="B288" s="84"/>
      <c r="C288" s="85"/>
      <c r="D288" s="58" t="s">
        <v>59</v>
      </c>
      <c r="E288" s="61">
        <v>1440.81</v>
      </c>
      <c r="F288" s="60">
        <v>0.05</v>
      </c>
      <c r="G288" s="55">
        <f t="shared" si="244"/>
        <v>1512.8505</v>
      </c>
      <c r="H288" s="59" t="s">
        <v>54</v>
      </c>
      <c r="I288" s="131">
        <v>0.01</v>
      </c>
      <c r="J288" s="132">
        <f t="shared" si="251"/>
        <v>15.128505000000001</v>
      </c>
      <c r="K288" s="133">
        <f>'LABOR SHEET'!C$3</f>
        <v>128</v>
      </c>
      <c r="L288" s="134">
        <f t="shared" si="252"/>
        <v>1.28</v>
      </c>
      <c r="M288" s="134">
        <f t="shared" si="253"/>
        <v>1936.4486400000001</v>
      </c>
      <c r="N288" s="134">
        <v>0.35</v>
      </c>
      <c r="O288" s="134">
        <f t="shared" si="254"/>
        <v>529.49767499999996</v>
      </c>
      <c r="P288" s="134">
        <f t="shared" si="255"/>
        <v>1.63</v>
      </c>
      <c r="Q288" s="164">
        <f t="shared" si="256"/>
        <v>2465.9463150000001</v>
      </c>
      <c r="R288" s="167"/>
      <c r="S288" s="167"/>
      <c r="T288" s="167"/>
      <c r="U288" s="167"/>
      <c r="V288" s="167"/>
      <c r="W288" s="167"/>
      <c r="X288" s="167"/>
      <c r="Y288" s="167"/>
      <c r="Z288" s="167"/>
      <c r="AA288" s="167"/>
      <c r="AB288" s="167"/>
      <c r="AC288" s="167"/>
      <c r="AD288" s="167"/>
      <c r="AE288" s="167"/>
      <c r="AF288" s="167"/>
      <c r="AG288" s="167"/>
      <c r="AH288" s="167"/>
      <c r="AI288" s="167"/>
      <c r="AJ288" s="167"/>
    </row>
    <row r="289" spans="1:36" s="30" customFormat="1">
      <c r="A289" s="83" t="str">
        <f>IF(F289&lt;&gt;"",1+MAX($A$2:A288),"")</f>
        <v/>
      </c>
      <c r="B289" s="84"/>
      <c r="C289" s="85"/>
      <c r="D289" s="58"/>
      <c r="E289" s="61"/>
      <c r="F289" s="86"/>
      <c r="G289" s="87"/>
      <c r="H289" s="59"/>
      <c r="I289" s="131"/>
      <c r="J289" s="132"/>
      <c r="K289" s="133"/>
      <c r="L289" s="134"/>
      <c r="M289" s="134"/>
      <c r="N289" s="134"/>
      <c r="O289" s="134"/>
      <c r="P289" s="134"/>
      <c r="Q289" s="165"/>
      <c r="R289" s="167"/>
      <c r="S289" s="167"/>
      <c r="T289" s="167"/>
      <c r="U289" s="167"/>
      <c r="V289" s="167"/>
      <c r="W289" s="167"/>
      <c r="X289" s="167"/>
      <c r="Y289" s="167"/>
      <c r="Z289" s="167"/>
      <c r="AA289" s="167"/>
      <c r="AB289" s="167"/>
      <c r="AC289" s="167"/>
      <c r="AD289" s="167"/>
      <c r="AE289" s="167"/>
      <c r="AF289" s="167"/>
      <c r="AG289" s="167"/>
      <c r="AH289" s="167"/>
      <c r="AI289" s="167"/>
      <c r="AJ289" s="167"/>
    </row>
    <row r="290" spans="1:36" s="30" customFormat="1">
      <c r="A290" s="83" t="str">
        <f>IF(F290&lt;&gt;"",1+MAX($A$2:A289),"")</f>
        <v/>
      </c>
      <c r="B290" s="84"/>
      <c r="C290" s="85"/>
      <c r="D290" s="79" t="s">
        <v>284</v>
      </c>
      <c r="E290" s="61"/>
      <c r="F290" s="86"/>
      <c r="G290" s="87"/>
      <c r="H290" s="59"/>
      <c r="I290" s="131"/>
      <c r="J290" s="132"/>
      <c r="K290" s="133"/>
      <c r="L290" s="134"/>
      <c r="M290" s="134"/>
      <c r="N290" s="134"/>
      <c r="O290" s="134"/>
      <c r="P290" s="134"/>
      <c r="Q290" s="165"/>
      <c r="R290" s="167"/>
      <c r="S290" s="167"/>
      <c r="T290" s="167"/>
      <c r="U290" s="167"/>
      <c r="V290" s="167"/>
      <c r="W290" s="167"/>
      <c r="X290" s="167"/>
      <c r="Y290" s="167"/>
      <c r="Z290" s="167"/>
      <c r="AA290" s="167"/>
      <c r="AB290" s="167"/>
      <c r="AC290" s="167"/>
      <c r="AD290" s="167"/>
      <c r="AE290" s="167"/>
      <c r="AF290" s="167"/>
      <c r="AG290" s="167"/>
      <c r="AH290" s="167"/>
      <c r="AI290" s="167"/>
      <c r="AJ290" s="167"/>
    </row>
    <row r="291" spans="1:36" s="30" customFormat="1">
      <c r="A291" s="83">
        <f>IF(F291&lt;&gt;"",1+MAX($A$2:A290),"")</f>
        <v>230</v>
      </c>
      <c r="B291" s="84"/>
      <c r="C291" s="85"/>
      <c r="D291" s="58" t="s">
        <v>285</v>
      </c>
      <c r="E291" s="61">
        <v>210.86</v>
      </c>
      <c r="F291" s="60">
        <v>0.05</v>
      </c>
      <c r="G291" s="55">
        <f t="shared" ref="G291:G294" si="257">(F291*E291)+E291</f>
        <v>221.40299999999999</v>
      </c>
      <c r="H291" s="59" t="s">
        <v>54</v>
      </c>
      <c r="I291" s="131">
        <v>1.4999999999999999E-2</v>
      </c>
      <c r="J291" s="132">
        <f t="shared" ref="J291:J294" si="258">+I291*G291</f>
        <v>3.3210449999999998</v>
      </c>
      <c r="K291" s="133">
        <f>'LABOR SHEET'!C$3</f>
        <v>128</v>
      </c>
      <c r="L291" s="134">
        <f t="shared" ref="L291:L294" si="259">I291*K291</f>
        <v>1.92</v>
      </c>
      <c r="M291" s="134">
        <f t="shared" ref="M291:M294" si="260">K291*J291</f>
        <v>425.09375999999997</v>
      </c>
      <c r="N291" s="134">
        <v>2.08</v>
      </c>
      <c r="O291" s="134">
        <f t="shared" ref="O291:O294" si="261">N291*G291</f>
        <v>460.51823999999999</v>
      </c>
      <c r="P291" s="134">
        <f t="shared" ref="P291:P294" si="262">(I291*K291)+N291</f>
        <v>4</v>
      </c>
      <c r="Q291" s="164">
        <f t="shared" ref="Q291:Q294" si="263">P291*G291</f>
        <v>885.61199999999997</v>
      </c>
      <c r="R291" s="167"/>
      <c r="S291" s="167"/>
      <c r="T291" s="167"/>
      <c r="U291" s="167"/>
      <c r="V291" s="167"/>
      <c r="W291" s="167"/>
      <c r="X291" s="167"/>
      <c r="Y291" s="167"/>
      <c r="Z291" s="167"/>
      <c r="AA291" s="167"/>
      <c r="AB291" s="167"/>
      <c r="AC291" s="167"/>
      <c r="AD291" s="167"/>
      <c r="AE291" s="167"/>
      <c r="AF291" s="167"/>
      <c r="AG291" s="167"/>
      <c r="AH291" s="167"/>
      <c r="AI291" s="167"/>
      <c r="AJ291" s="167"/>
    </row>
    <row r="292" spans="1:36" s="30" customFormat="1">
      <c r="A292" s="83">
        <f>IF(F292&lt;&gt;"",1+MAX($A$2:A291),"")</f>
        <v>231</v>
      </c>
      <c r="B292" s="84"/>
      <c r="C292" s="85"/>
      <c r="D292" s="58" t="s">
        <v>286</v>
      </c>
      <c r="E292" s="61">
        <v>278.70999999999998</v>
      </c>
      <c r="F292" s="60">
        <v>0.05</v>
      </c>
      <c r="G292" s="55">
        <f t="shared" si="257"/>
        <v>292.64550000000003</v>
      </c>
      <c r="H292" s="59" t="s">
        <v>54</v>
      </c>
      <c r="I292" s="131">
        <v>0.02</v>
      </c>
      <c r="J292" s="132">
        <f t="shared" si="258"/>
        <v>5.8529099999999996</v>
      </c>
      <c r="K292" s="133">
        <f>'LABOR SHEET'!C$3</f>
        <v>128</v>
      </c>
      <c r="L292" s="134">
        <f t="shared" si="259"/>
        <v>2.56</v>
      </c>
      <c r="M292" s="134">
        <f t="shared" si="260"/>
        <v>749.17247999999995</v>
      </c>
      <c r="N292" s="134">
        <v>4.7699999999999996</v>
      </c>
      <c r="O292" s="134">
        <f t="shared" si="261"/>
        <v>1395.9190349999999</v>
      </c>
      <c r="P292" s="134">
        <f t="shared" si="262"/>
        <v>7.33</v>
      </c>
      <c r="Q292" s="164">
        <f t="shared" si="263"/>
        <v>2145.0915150000001</v>
      </c>
      <c r="R292" s="167"/>
      <c r="S292" s="167"/>
      <c r="T292" s="167"/>
      <c r="U292" s="167"/>
      <c r="V292" s="167"/>
      <c r="W292" s="167"/>
      <c r="X292" s="167"/>
      <c r="Y292" s="167"/>
      <c r="Z292" s="167"/>
      <c r="AA292" s="167"/>
      <c r="AB292" s="167"/>
      <c r="AC292" s="167"/>
      <c r="AD292" s="167"/>
      <c r="AE292" s="167"/>
      <c r="AF292" s="167"/>
      <c r="AG292" s="167"/>
      <c r="AH292" s="167"/>
      <c r="AI292" s="167"/>
      <c r="AJ292" s="167"/>
    </row>
    <row r="293" spans="1:36" s="30" customFormat="1">
      <c r="A293" s="83">
        <f>IF(F293&lt;&gt;"",1+MAX($A$2:A292),"")</f>
        <v>232</v>
      </c>
      <c r="B293" s="84"/>
      <c r="C293" s="85"/>
      <c r="D293" s="58" t="s">
        <v>287</v>
      </c>
      <c r="E293" s="61">
        <v>278.70999999999998</v>
      </c>
      <c r="F293" s="60">
        <v>0.05</v>
      </c>
      <c r="G293" s="55">
        <f t="shared" si="257"/>
        <v>292.64550000000003</v>
      </c>
      <c r="H293" s="59" t="s">
        <v>54</v>
      </c>
      <c r="I293" s="131">
        <v>0.02</v>
      </c>
      <c r="J293" s="132">
        <f t="shared" si="258"/>
        <v>5.8529099999999996</v>
      </c>
      <c r="K293" s="133">
        <f>'LABOR SHEET'!C$3</f>
        <v>128</v>
      </c>
      <c r="L293" s="134">
        <f t="shared" si="259"/>
        <v>2.56</v>
      </c>
      <c r="M293" s="134">
        <f t="shared" si="260"/>
        <v>749.17247999999995</v>
      </c>
      <c r="N293" s="134">
        <v>3.61</v>
      </c>
      <c r="O293" s="134">
        <f t="shared" si="261"/>
        <v>1056.450255</v>
      </c>
      <c r="P293" s="134">
        <f t="shared" si="262"/>
        <v>6.17</v>
      </c>
      <c r="Q293" s="164">
        <f t="shared" si="263"/>
        <v>1805.6227349999999</v>
      </c>
      <c r="R293" s="167"/>
      <c r="S293" s="167"/>
      <c r="T293" s="167"/>
      <c r="U293" s="167"/>
      <c r="V293" s="167"/>
      <c r="W293" s="167"/>
      <c r="X293" s="167"/>
      <c r="Y293" s="167"/>
      <c r="Z293" s="167"/>
      <c r="AA293" s="167"/>
      <c r="AB293" s="167"/>
      <c r="AC293" s="167"/>
      <c r="AD293" s="167"/>
      <c r="AE293" s="167"/>
      <c r="AF293" s="167"/>
      <c r="AG293" s="167"/>
      <c r="AH293" s="167"/>
      <c r="AI293" s="167"/>
      <c r="AJ293" s="167"/>
    </row>
    <row r="294" spans="1:36" s="30" customFormat="1">
      <c r="A294" s="83">
        <f>IF(F294&lt;&gt;"",1+MAX($A$2:A293),"")</f>
        <v>233</v>
      </c>
      <c r="B294" s="84"/>
      <c r="C294" s="85"/>
      <c r="D294" s="58" t="s">
        <v>288</v>
      </c>
      <c r="E294" s="61">
        <v>25908.68</v>
      </c>
      <c r="F294" s="60">
        <v>0.05</v>
      </c>
      <c r="G294" s="55">
        <f t="shared" si="257"/>
        <v>27204.114000000001</v>
      </c>
      <c r="H294" s="59" t="s">
        <v>54</v>
      </c>
      <c r="I294" s="131">
        <v>8.0000000000000002E-3</v>
      </c>
      <c r="J294" s="132">
        <f t="shared" si="258"/>
        <v>217.632912</v>
      </c>
      <c r="K294" s="133">
        <f>'LABOR SHEET'!C$3</f>
        <v>128</v>
      </c>
      <c r="L294" s="134">
        <f t="shared" si="259"/>
        <v>1.024</v>
      </c>
      <c r="M294" s="134">
        <f t="shared" si="260"/>
        <v>27857.012736000001</v>
      </c>
      <c r="N294" s="134">
        <f>7.94/15</f>
        <v>0.52933333333333299</v>
      </c>
      <c r="O294" s="134">
        <f t="shared" si="261"/>
        <v>14400.044344</v>
      </c>
      <c r="P294" s="134">
        <f t="shared" si="262"/>
        <v>1.5533333333333299</v>
      </c>
      <c r="Q294" s="164">
        <f t="shared" si="263"/>
        <v>42257.057079999999</v>
      </c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</row>
    <row r="295" spans="1:36" s="30" customFormat="1">
      <c r="A295" s="83" t="str">
        <f>IF(F295&lt;&gt;"",1+MAX($A$2:A294),"")</f>
        <v/>
      </c>
      <c r="B295" s="84"/>
      <c r="C295" s="85"/>
      <c r="D295" s="58"/>
      <c r="E295" s="61"/>
      <c r="F295" s="86"/>
      <c r="G295" s="87"/>
      <c r="H295" s="59"/>
      <c r="I295" s="131"/>
      <c r="J295" s="132"/>
      <c r="K295" s="133"/>
      <c r="L295" s="134"/>
      <c r="M295" s="134"/>
      <c r="N295" s="134"/>
      <c r="O295" s="134"/>
      <c r="P295" s="134"/>
      <c r="Q295" s="165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</row>
    <row r="296" spans="1:36" s="30" customFormat="1">
      <c r="A296" s="83" t="str">
        <f>IF(F296&lt;&gt;"",1+MAX($A$2:A295),"")</f>
        <v/>
      </c>
      <c r="B296" s="84"/>
      <c r="C296" s="85"/>
      <c r="D296" s="79" t="s">
        <v>289</v>
      </c>
      <c r="E296" s="61"/>
      <c r="F296" s="86"/>
      <c r="G296" s="87"/>
      <c r="H296" s="59"/>
      <c r="I296" s="131"/>
      <c r="J296" s="132"/>
      <c r="K296" s="133"/>
      <c r="L296" s="134"/>
      <c r="M296" s="134"/>
      <c r="N296" s="134"/>
      <c r="O296" s="134"/>
      <c r="P296" s="134"/>
      <c r="Q296" s="165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</row>
    <row r="297" spans="1:36" s="30" customFormat="1">
      <c r="A297" s="83">
        <f>IF(F297&lt;&gt;"",1+MAX($A$2:A296),"")</f>
        <v>234</v>
      </c>
      <c r="B297" s="84"/>
      <c r="C297" s="85"/>
      <c r="D297" s="58" t="s">
        <v>290</v>
      </c>
      <c r="E297" s="61">
        <v>1</v>
      </c>
      <c r="F297" s="60">
        <v>0</v>
      </c>
      <c r="G297" s="55">
        <f t="shared" ref="G297:G330" si="264">(F297*E297)+E297</f>
        <v>1</v>
      </c>
      <c r="H297" s="59" t="s">
        <v>71</v>
      </c>
      <c r="I297" s="131">
        <v>0.4</v>
      </c>
      <c r="J297" s="132">
        <f t="shared" ref="J297:J330" si="265">+I297*G297</f>
        <v>0.4</v>
      </c>
      <c r="K297" s="133">
        <f>'LABOR SHEET'!C$3</f>
        <v>128</v>
      </c>
      <c r="L297" s="134">
        <f t="shared" ref="L297:L330" si="266">I297*K297</f>
        <v>51.2</v>
      </c>
      <c r="M297" s="134">
        <f t="shared" ref="M297:M330" si="267">K297*J297</f>
        <v>51.2</v>
      </c>
      <c r="N297" s="134">
        <v>109</v>
      </c>
      <c r="O297" s="134">
        <f t="shared" ref="O297:O330" si="268">N297*G297</f>
        <v>109</v>
      </c>
      <c r="P297" s="134">
        <f t="shared" ref="P297:P330" si="269">(I297*K297)+N297</f>
        <v>160.19999999999999</v>
      </c>
      <c r="Q297" s="164">
        <f t="shared" ref="Q297:Q330" si="270">P297*G297</f>
        <v>160.19999999999999</v>
      </c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</row>
    <row r="298" spans="1:36" s="30" customFormat="1">
      <c r="A298" s="83">
        <f>IF(F298&lt;&gt;"",1+MAX($A$2:A297),"")</f>
        <v>235</v>
      </c>
      <c r="B298" s="84"/>
      <c r="C298" s="85"/>
      <c r="D298" s="58" t="s">
        <v>291</v>
      </c>
      <c r="E298" s="61">
        <v>2</v>
      </c>
      <c r="F298" s="60">
        <v>0</v>
      </c>
      <c r="G298" s="55">
        <f t="shared" si="264"/>
        <v>2</v>
      </c>
      <c r="H298" s="59" t="s">
        <v>71</v>
      </c>
      <c r="I298" s="131">
        <v>1</v>
      </c>
      <c r="J298" s="132">
        <f t="shared" si="265"/>
        <v>2</v>
      </c>
      <c r="K298" s="133">
        <f>'LABOR SHEET'!C$3</f>
        <v>128</v>
      </c>
      <c r="L298" s="134">
        <f t="shared" si="266"/>
        <v>128</v>
      </c>
      <c r="M298" s="134">
        <f t="shared" si="267"/>
        <v>256</v>
      </c>
      <c r="N298" s="134">
        <f>162.31/10*12</f>
        <v>194.77199999999999</v>
      </c>
      <c r="O298" s="134">
        <f t="shared" si="268"/>
        <v>389.54399999999998</v>
      </c>
      <c r="P298" s="134">
        <f t="shared" si="269"/>
        <v>322.77199999999999</v>
      </c>
      <c r="Q298" s="164">
        <f t="shared" si="270"/>
        <v>645.54399999999998</v>
      </c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</row>
    <row r="299" spans="1:36" s="30" customFormat="1">
      <c r="A299" s="83">
        <f>IF(F299&lt;&gt;"",1+MAX($A$2:A298),"")</f>
        <v>236</v>
      </c>
      <c r="B299" s="84"/>
      <c r="C299" s="85"/>
      <c r="D299" s="58" t="s">
        <v>292</v>
      </c>
      <c r="E299" s="61">
        <v>2</v>
      </c>
      <c r="F299" s="60">
        <v>0</v>
      </c>
      <c r="G299" s="55">
        <f t="shared" si="264"/>
        <v>2</v>
      </c>
      <c r="H299" s="59" t="s">
        <v>71</v>
      </c>
      <c r="I299" s="131">
        <v>1.1000000000000001</v>
      </c>
      <c r="J299" s="132">
        <f t="shared" si="265"/>
        <v>2.2000000000000002</v>
      </c>
      <c r="K299" s="133">
        <f>'LABOR SHEET'!C$3</f>
        <v>128</v>
      </c>
      <c r="L299" s="134">
        <f t="shared" si="266"/>
        <v>140.80000000000001</v>
      </c>
      <c r="M299" s="134">
        <f t="shared" si="267"/>
        <v>281.60000000000002</v>
      </c>
      <c r="N299" s="134">
        <v>217.34</v>
      </c>
      <c r="O299" s="134">
        <f t="shared" si="268"/>
        <v>434.68</v>
      </c>
      <c r="P299" s="134">
        <f t="shared" si="269"/>
        <v>358.14</v>
      </c>
      <c r="Q299" s="164">
        <f t="shared" si="270"/>
        <v>716.28</v>
      </c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</row>
    <row r="300" spans="1:36" s="30" customFormat="1">
      <c r="A300" s="83">
        <f>IF(F300&lt;&gt;"",1+MAX($A$2:A299),"")</f>
        <v>237</v>
      </c>
      <c r="B300" s="84"/>
      <c r="C300" s="85"/>
      <c r="D300" s="58" t="s">
        <v>293</v>
      </c>
      <c r="E300" s="61">
        <v>7</v>
      </c>
      <c r="F300" s="60">
        <v>0</v>
      </c>
      <c r="G300" s="55">
        <f t="shared" si="264"/>
        <v>7</v>
      </c>
      <c r="H300" s="59" t="s">
        <v>71</v>
      </c>
      <c r="I300" s="131">
        <v>1.5</v>
      </c>
      <c r="J300" s="132">
        <f t="shared" si="265"/>
        <v>10.5</v>
      </c>
      <c r="K300" s="133">
        <f>'LABOR SHEET'!C$3</f>
        <v>128</v>
      </c>
      <c r="L300" s="134">
        <f t="shared" si="266"/>
        <v>192</v>
      </c>
      <c r="M300" s="134">
        <f t="shared" si="267"/>
        <v>1344</v>
      </c>
      <c r="N300" s="134">
        <v>453.54</v>
      </c>
      <c r="O300" s="134">
        <f t="shared" si="268"/>
        <v>3174.78</v>
      </c>
      <c r="P300" s="134">
        <f t="shared" si="269"/>
        <v>645.54</v>
      </c>
      <c r="Q300" s="164">
        <f t="shared" si="270"/>
        <v>4518.78</v>
      </c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</row>
    <row r="301" spans="1:36" s="30" customFormat="1">
      <c r="A301" s="83">
        <f>IF(F301&lt;&gt;"",1+MAX($A$2:A300),"")</f>
        <v>238</v>
      </c>
      <c r="B301" s="84"/>
      <c r="C301" s="85"/>
      <c r="D301" s="58" t="s">
        <v>294</v>
      </c>
      <c r="E301" s="61">
        <v>1</v>
      </c>
      <c r="F301" s="60">
        <v>0</v>
      </c>
      <c r="G301" s="55">
        <f t="shared" si="264"/>
        <v>1</v>
      </c>
      <c r="H301" s="59" t="s">
        <v>71</v>
      </c>
      <c r="I301" s="131">
        <v>2</v>
      </c>
      <c r="J301" s="132">
        <f t="shared" si="265"/>
        <v>2</v>
      </c>
      <c r="K301" s="133">
        <f>'LABOR SHEET'!C$3</f>
        <v>128</v>
      </c>
      <c r="L301" s="134">
        <f t="shared" si="266"/>
        <v>256</v>
      </c>
      <c r="M301" s="134">
        <f t="shared" si="267"/>
        <v>256</v>
      </c>
      <c r="N301" s="134">
        <v>364.74</v>
      </c>
      <c r="O301" s="134">
        <f t="shared" si="268"/>
        <v>364.74</v>
      </c>
      <c r="P301" s="134">
        <f t="shared" si="269"/>
        <v>620.74</v>
      </c>
      <c r="Q301" s="164">
        <f t="shared" si="270"/>
        <v>620.74</v>
      </c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</row>
    <row r="302" spans="1:36" s="30" customFormat="1">
      <c r="A302" s="83">
        <f>IF(F302&lt;&gt;"",1+MAX($A$2:A301),"")</f>
        <v>239</v>
      </c>
      <c r="B302" s="84"/>
      <c r="C302" s="85"/>
      <c r="D302" s="58" t="s">
        <v>295</v>
      </c>
      <c r="E302" s="61">
        <v>1</v>
      </c>
      <c r="F302" s="60">
        <v>0</v>
      </c>
      <c r="G302" s="55">
        <f t="shared" si="264"/>
        <v>1</v>
      </c>
      <c r="H302" s="59" t="s">
        <v>71</v>
      </c>
      <c r="I302" s="131">
        <v>4.5</v>
      </c>
      <c r="J302" s="132">
        <f t="shared" si="265"/>
        <v>4.5</v>
      </c>
      <c r="K302" s="133">
        <f>'LABOR SHEET'!C$3</f>
        <v>128</v>
      </c>
      <c r="L302" s="134">
        <f t="shared" si="266"/>
        <v>576</v>
      </c>
      <c r="M302" s="134">
        <f t="shared" si="267"/>
        <v>576</v>
      </c>
      <c r="N302" s="134">
        <v>1010</v>
      </c>
      <c r="O302" s="134">
        <f t="shared" si="268"/>
        <v>1010</v>
      </c>
      <c r="P302" s="134">
        <f t="shared" si="269"/>
        <v>1586</v>
      </c>
      <c r="Q302" s="164">
        <f t="shared" si="270"/>
        <v>1586</v>
      </c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</row>
    <row r="303" spans="1:36" s="30" customFormat="1">
      <c r="A303" s="83">
        <f>IF(F303&lt;&gt;"",1+MAX($A$2:A302),"")</f>
        <v>240</v>
      </c>
      <c r="B303" s="84"/>
      <c r="C303" s="85"/>
      <c r="D303" s="182" t="s">
        <v>296</v>
      </c>
      <c r="E303" s="183">
        <v>123.92</v>
      </c>
      <c r="F303" s="184">
        <v>0.1</v>
      </c>
      <c r="G303" s="185">
        <f t="shared" si="264"/>
        <v>136.31200000000001</v>
      </c>
      <c r="H303" s="186" t="s">
        <v>297</v>
      </c>
      <c r="I303" s="131">
        <v>1.6E-2</v>
      </c>
      <c r="J303" s="132">
        <f t="shared" si="265"/>
        <v>2.1809919999999998</v>
      </c>
      <c r="K303" s="133">
        <f>'LABOR SHEET'!C$3</f>
        <v>128</v>
      </c>
      <c r="L303" s="134">
        <f t="shared" si="266"/>
        <v>2.048</v>
      </c>
      <c r="M303" s="134">
        <f t="shared" si="267"/>
        <v>279.16697599999998</v>
      </c>
      <c r="N303" s="134">
        <v>2</v>
      </c>
      <c r="O303" s="134">
        <f t="shared" si="268"/>
        <v>272.62400000000002</v>
      </c>
      <c r="P303" s="134">
        <f t="shared" si="269"/>
        <v>4.048</v>
      </c>
      <c r="Q303" s="164">
        <f t="shared" si="270"/>
        <v>551.790976</v>
      </c>
      <c r="R303" s="167"/>
      <c r="S303" s="167"/>
      <c r="T303" s="167"/>
      <c r="U303" s="167"/>
      <c r="V303" s="167"/>
      <c r="W303" s="167"/>
      <c r="X303" s="167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  <c r="AI303" s="167"/>
      <c r="AJ303" s="167"/>
    </row>
    <row r="304" spans="1:36" s="30" customFormat="1">
      <c r="A304" s="83">
        <f>IF(F304&lt;&gt;"",1+MAX($A$2:A303),"")</f>
        <v>241</v>
      </c>
      <c r="B304" s="84"/>
      <c r="C304" s="85"/>
      <c r="D304" s="58" t="s">
        <v>298</v>
      </c>
      <c r="E304" s="61">
        <v>3</v>
      </c>
      <c r="F304" s="60">
        <v>0</v>
      </c>
      <c r="G304" s="55">
        <f t="shared" si="264"/>
        <v>3</v>
      </c>
      <c r="H304" s="59" t="s">
        <v>71</v>
      </c>
      <c r="I304" s="131">
        <v>0.25</v>
      </c>
      <c r="J304" s="132">
        <f t="shared" si="265"/>
        <v>0.75</v>
      </c>
      <c r="K304" s="133">
        <f>'LABOR SHEET'!C$3</f>
        <v>128</v>
      </c>
      <c r="L304" s="134">
        <f t="shared" si="266"/>
        <v>32</v>
      </c>
      <c r="M304" s="134">
        <f t="shared" si="267"/>
        <v>96</v>
      </c>
      <c r="N304" s="134">
        <v>24.34</v>
      </c>
      <c r="O304" s="134">
        <f t="shared" si="268"/>
        <v>73.02</v>
      </c>
      <c r="P304" s="134">
        <f t="shared" si="269"/>
        <v>56.34</v>
      </c>
      <c r="Q304" s="164">
        <f t="shared" si="270"/>
        <v>169.02</v>
      </c>
      <c r="R304" s="167"/>
      <c r="S304" s="167"/>
      <c r="T304" s="167"/>
      <c r="U304" s="167"/>
      <c r="V304" s="167"/>
      <c r="W304" s="167"/>
      <c r="X304" s="167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  <c r="AI304" s="167"/>
      <c r="AJ304" s="167"/>
    </row>
    <row r="305" spans="1:36" s="30" customFormat="1">
      <c r="A305" s="83">
        <f>IF(F305&lt;&gt;"",1+MAX($A$2:A304),"")</f>
        <v>242</v>
      </c>
      <c r="B305" s="84"/>
      <c r="C305" s="85"/>
      <c r="D305" s="58" t="s">
        <v>299</v>
      </c>
      <c r="E305" s="61">
        <v>4</v>
      </c>
      <c r="F305" s="60">
        <v>0</v>
      </c>
      <c r="G305" s="55">
        <f t="shared" si="264"/>
        <v>4</v>
      </c>
      <c r="H305" s="59" t="s">
        <v>71</v>
      </c>
      <c r="I305" s="131">
        <v>1.5</v>
      </c>
      <c r="J305" s="132">
        <f t="shared" si="265"/>
        <v>6</v>
      </c>
      <c r="K305" s="133">
        <f>'LABOR SHEET'!C$3</f>
        <v>128</v>
      </c>
      <c r="L305" s="134">
        <f t="shared" si="266"/>
        <v>192</v>
      </c>
      <c r="M305" s="134">
        <f t="shared" si="267"/>
        <v>768</v>
      </c>
      <c r="N305" s="134">
        <v>339.8</v>
      </c>
      <c r="O305" s="134">
        <f t="shared" si="268"/>
        <v>1359.2</v>
      </c>
      <c r="P305" s="134">
        <f t="shared" si="269"/>
        <v>531.79999999999995</v>
      </c>
      <c r="Q305" s="164">
        <f t="shared" si="270"/>
        <v>2127.1999999999998</v>
      </c>
      <c r="R305" s="167"/>
      <c r="S305" s="167"/>
      <c r="T305" s="167"/>
      <c r="U305" s="167"/>
      <c r="V305" s="167"/>
      <c r="W305" s="167"/>
      <c r="X305" s="167"/>
      <c r="Y305" s="167"/>
      <c r="Z305" s="167"/>
      <c r="AA305" s="167"/>
      <c r="AB305" s="167"/>
      <c r="AC305" s="167"/>
      <c r="AD305" s="167"/>
      <c r="AE305" s="167"/>
      <c r="AF305" s="167"/>
      <c r="AG305" s="167"/>
      <c r="AH305" s="167"/>
      <c r="AI305" s="167"/>
      <c r="AJ305" s="167"/>
    </row>
    <row r="306" spans="1:36" s="30" customFormat="1">
      <c r="A306" s="83">
        <f>IF(F306&lt;&gt;"",1+MAX($A$2:A305),"")</f>
        <v>243</v>
      </c>
      <c r="B306" s="84"/>
      <c r="C306" s="85"/>
      <c r="D306" s="58" t="s">
        <v>300</v>
      </c>
      <c r="E306" s="61">
        <v>2</v>
      </c>
      <c r="F306" s="60">
        <v>0</v>
      </c>
      <c r="G306" s="55">
        <f t="shared" si="264"/>
        <v>2</v>
      </c>
      <c r="H306" s="59" t="s">
        <v>71</v>
      </c>
      <c r="I306" s="131">
        <v>1.85</v>
      </c>
      <c r="J306" s="132">
        <f t="shared" si="265"/>
        <v>3.7</v>
      </c>
      <c r="K306" s="133">
        <f>'LABOR SHEET'!C$3</f>
        <v>128</v>
      </c>
      <c r="L306" s="134">
        <f t="shared" si="266"/>
        <v>236.8</v>
      </c>
      <c r="M306" s="134">
        <f t="shared" si="267"/>
        <v>473.6</v>
      </c>
      <c r="N306" s="134">
        <v>495</v>
      </c>
      <c r="O306" s="134">
        <f t="shared" si="268"/>
        <v>990</v>
      </c>
      <c r="P306" s="134">
        <f t="shared" si="269"/>
        <v>731.8</v>
      </c>
      <c r="Q306" s="164">
        <f t="shared" si="270"/>
        <v>1463.6</v>
      </c>
      <c r="R306" s="167"/>
      <c r="S306" s="167"/>
      <c r="T306" s="167"/>
      <c r="U306" s="167"/>
      <c r="V306" s="167"/>
      <c r="W306" s="167"/>
      <c r="X306" s="167"/>
      <c r="Y306" s="167"/>
      <c r="Z306" s="167"/>
      <c r="AA306" s="167"/>
      <c r="AB306" s="167"/>
      <c r="AC306" s="167"/>
      <c r="AD306" s="167"/>
      <c r="AE306" s="167"/>
      <c r="AF306" s="167"/>
      <c r="AG306" s="167"/>
      <c r="AH306" s="167"/>
      <c r="AI306" s="167"/>
      <c r="AJ306" s="167"/>
    </row>
    <row r="307" spans="1:36" s="30" customFormat="1">
      <c r="A307" s="83">
        <f>IF(F307&lt;&gt;"",1+MAX($A$2:A306),"")</f>
        <v>244</v>
      </c>
      <c r="B307" s="84"/>
      <c r="C307" s="85"/>
      <c r="D307" s="58" t="s">
        <v>301</v>
      </c>
      <c r="E307" s="61">
        <v>2</v>
      </c>
      <c r="F307" s="60">
        <v>0</v>
      </c>
      <c r="G307" s="55">
        <f t="shared" si="264"/>
        <v>2</v>
      </c>
      <c r="H307" s="59" t="s">
        <v>71</v>
      </c>
      <c r="I307" s="131">
        <v>2</v>
      </c>
      <c r="J307" s="132">
        <f t="shared" si="265"/>
        <v>4</v>
      </c>
      <c r="K307" s="133">
        <f>'LABOR SHEET'!C$3</f>
        <v>128</v>
      </c>
      <c r="L307" s="134">
        <f t="shared" si="266"/>
        <v>256</v>
      </c>
      <c r="M307" s="134">
        <f t="shared" si="267"/>
        <v>512</v>
      </c>
      <c r="N307" s="134">
        <v>333</v>
      </c>
      <c r="O307" s="134">
        <f t="shared" si="268"/>
        <v>666</v>
      </c>
      <c r="P307" s="134">
        <f t="shared" si="269"/>
        <v>589</v>
      </c>
      <c r="Q307" s="164">
        <f t="shared" si="270"/>
        <v>1178</v>
      </c>
      <c r="R307" s="167"/>
      <c r="S307" s="167"/>
      <c r="T307" s="167"/>
      <c r="U307" s="167"/>
      <c r="V307" s="167"/>
      <c r="W307" s="167"/>
      <c r="X307" s="167"/>
      <c r="Y307" s="167"/>
      <c r="Z307" s="167"/>
      <c r="AA307" s="167"/>
      <c r="AB307" s="167"/>
      <c r="AC307" s="167"/>
      <c r="AD307" s="167"/>
      <c r="AE307" s="167"/>
      <c r="AF307" s="167"/>
      <c r="AG307" s="167"/>
      <c r="AH307" s="167"/>
      <c r="AI307" s="167"/>
      <c r="AJ307" s="167"/>
    </row>
    <row r="308" spans="1:36" s="30" customFormat="1">
      <c r="A308" s="83">
        <f>IF(F308&lt;&gt;"",1+MAX($A$2:A307),"")</f>
        <v>245</v>
      </c>
      <c r="B308" s="84"/>
      <c r="C308" s="85"/>
      <c r="D308" s="58" t="s">
        <v>302</v>
      </c>
      <c r="E308" s="61">
        <v>32.840000000000003</v>
      </c>
      <c r="F308" s="60">
        <v>0.05</v>
      </c>
      <c r="G308" s="55">
        <f t="shared" si="264"/>
        <v>34.481999999999999</v>
      </c>
      <c r="H308" s="59" t="s">
        <v>54</v>
      </c>
      <c r="I308" s="131">
        <v>0.1</v>
      </c>
      <c r="J308" s="132">
        <f t="shared" si="265"/>
        <v>3.4481999999999999</v>
      </c>
      <c r="K308" s="133">
        <f>'LABOR SHEET'!C$3</f>
        <v>128</v>
      </c>
      <c r="L308" s="134">
        <f t="shared" si="266"/>
        <v>12.8</v>
      </c>
      <c r="M308" s="134">
        <f t="shared" si="267"/>
        <v>441.36959999999999</v>
      </c>
      <c r="N308" s="134">
        <f>336.06/10</f>
        <v>33.606000000000002</v>
      </c>
      <c r="O308" s="134">
        <f t="shared" si="268"/>
        <v>1158.8020919999999</v>
      </c>
      <c r="P308" s="134">
        <f t="shared" si="269"/>
        <v>46.405999999999999</v>
      </c>
      <c r="Q308" s="164">
        <f t="shared" si="270"/>
        <v>1600.1716919999999</v>
      </c>
      <c r="R308" s="167"/>
      <c r="S308" s="167"/>
      <c r="T308" s="167"/>
      <c r="U308" s="167"/>
      <c r="V308" s="167"/>
      <c r="W308" s="167"/>
      <c r="X308" s="167"/>
      <c r="Y308" s="167"/>
      <c r="Z308" s="167"/>
      <c r="AA308" s="167"/>
      <c r="AB308" s="167"/>
      <c r="AC308" s="167"/>
      <c r="AD308" s="167"/>
      <c r="AE308" s="167"/>
      <c r="AF308" s="167"/>
      <c r="AG308" s="167"/>
      <c r="AH308" s="167"/>
      <c r="AI308" s="167"/>
      <c r="AJ308" s="167"/>
    </row>
    <row r="309" spans="1:36" s="30" customFormat="1">
      <c r="A309" s="83">
        <f>IF(F309&lt;&gt;"",1+MAX($A$2:A308),"")</f>
        <v>246</v>
      </c>
      <c r="B309" s="84"/>
      <c r="C309" s="85"/>
      <c r="D309" s="58" t="s">
        <v>303</v>
      </c>
      <c r="E309" s="61">
        <v>1</v>
      </c>
      <c r="F309" s="60">
        <v>0</v>
      </c>
      <c r="G309" s="55">
        <f t="shared" si="264"/>
        <v>1</v>
      </c>
      <c r="H309" s="59" t="s">
        <v>71</v>
      </c>
      <c r="I309" s="131">
        <v>1</v>
      </c>
      <c r="J309" s="132">
        <f t="shared" si="265"/>
        <v>1</v>
      </c>
      <c r="K309" s="133">
        <f>'LABOR SHEET'!C$3</f>
        <v>128</v>
      </c>
      <c r="L309" s="134">
        <f t="shared" si="266"/>
        <v>128</v>
      </c>
      <c r="M309" s="134">
        <f t="shared" si="267"/>
        <v>128</v>
      </c>
      <c r="N309" s="134">
        <v>152</v>
      </c>
      <c r="O309" s="134">
        <f t="shared" si="268"/>
        <v>152</v>
      </c>
      <c r="P309" s="134">
        <f t="shared" si="269"/>
        <v>280</v>
      </c>
      <c r="Q309" s="164">
        <f t="shared" si="270"/>
        <v>280</v>
      </c>
      <c r="R309" s="167"/>
      <c r="S309" s="167"/>
      <c r="T309" s="167"/>
      <c r="U309" s="167"/>
      <c r="V309" s="167"/>
      <c r="W309" s="167"/>
      <c r="X309" s="167"/>
      <c r="Y309" s="167"/>
      <c r="Z309" s="167"/>
      <c r="AA309" s="167"/>
      <c r="AB309" s="167"/>
      <c r="AC309" s="167"/>
      <c r="AD309" s="167"/>
      <c r="AE309" s="167"/>
      <c r="AF309" s="167"/>
      <c r="AG309" s="167"/>
      <c r="AH309" s="167"/>
      <c r="AI309" s="167"/>
      <c r="AJ309" s="167"/>
    </row>
    <row r="310" spans="1:36" s="30" customFormat="1">
      <c r="A310" s="83">
        <f>IF(F310&lt;&gt;"",1+MAX($A$2:A309),"")</f>
        <v>247</v>
      </c>
      <c r="B310" s="84"/>
      <c r="C310" s="85"/>
      <c r="D310" s="58" t="s">
        <v>304</v>
      </c>
      <c r="E310" s="61">
        <v>2</v>
      </c>
      <c r="F310" s="60">
        <v>0</v>
      </c>
      <c r="G310" s="55">
        <f t="shared" si="264"/>
        <v>2</v>
      </c>
      <c r="H310" s="59" t="s">
        <v>71</v>
      </c>
      <c r="I310" s="131">
        <v>1</v>
      </c>
      <c r="J310" s="132">
        <f t="shared" ref="J310" si="271">+I310*G310</f>
        <v>2</v>
      </c>
      <c r="K310" s="133">
        <f>'LABOR SHEET'!C$3</f>
        <v>128</v>
      </c>
      <c r="L310" s="134">
        <f t="shared" ref="L310" si="272">I310*K310</f>
        <v>128</v>
      </c>
      <c r="M310" s="134">
        <f t="shared" ref="M310" si="273">K310*J310</f>
        <v>256</v>
      </c>
      <c r="N310" s="134">
        <v>152</v>
      </c>
      <c r="O310" s="134">
        <f t="shared" ref="O310" si="274">N310*G310</f>
        <v>304</v>
      </c>
      <c r="P310" s="134">
        <f t="shared" ref="P310" si="275">(I310*K310)+N310</f>
        <v>280</v>
      </c>
      <c r="Q310" s="164">
        <f t="shared" ref="Q310" si="276">P310*G310</f>
        <v>560</v>
      </c>
      <c r="R310" s="167"/>
      <c r="S310" s="167"/>
      <c r="T310" s="167"/>
      <c r="U310" s="167"/>
      <c r="V310" s="167"/>
      <c r="W310" s="167"/>
      <c r="X310" s="167"/>
      <c r="Y310" s="167"/>
      <c r="Z310" s="167"/>
      <c r="AA310" s="167"/>
      <c r="AB310" s="167"/>
      <c r="AC310" s="167"/>
      <c r="AD310" s="167"/>
      <c r="AE310" s="167"/>
      <c r="AF310" s="167"/>
      <c r="AG310" s="167"/>
      <c r="AH310" s="167"/>
      <c r="AI310" s="167"/>
      <c r="AJ310" s="167"/>
    </row>
    <row r="311" spans="1:36" s="30" customFormat="1">
      <c r="A311" s="83">
        <f>IF(F311&lt;&gt;"",1+MAX($A$2:A310),"")</f>
        <v>248</v>
      </c>
      <c r="B311" s="84"/>
      <c r="C311" s="85"/>
      <c r="D311" s="58" t="s">
        <v>305</v>
      </c>
      <c r="E311" s="61">
        <v>4</v>
      </c>
      <c r="F311" s="60">
        <v>0</v>
      </c>
      <c r="G311" s="55">
        <f t="shared" si="264"/>
        <v>4</v>
      </c>
      <c r="H311" s="59" t="s">
        <v>71</v>
      </c>
      <c r="I311" s="131">
        <v>0.7</v>
      </c>
      <c r="J311" s="132">
        <f t="shared" si="265"/>
        <v>2.8</v>
      </c>
      <c r="K311" s="133">
        <f>'LABOR SHEET'!C$3</f>
        <v>128</v>
      </c>
      <c r="L311" s="134">
        <f t="shared" si="266"/>
        <v>89.6</v>
      </c>
      <c r="M311" s="134">
        <f t="shared" si="267"/>
        <v>358.4</v>
      </c>
      <c r="N311" s="134">
        <v>125</v>
      </c>
      <c r="O311" s="134">
        <f t="shared" si="268"/>
        <v>500</v>
      </c>
      <c r="P311" s="134">
        <f t="shared" si="269"/>
        <v>214.6</v>
      </c>
      <c r="Q311" s="164">
        <f t="shared" si="270"/>
        <v>858.4</v>
      </c>
      <c r="R311" s="167"/>
      <c r="S311" s="167"/>
      <c r="T311" s="167"/>
      <c r="U311" s="167"/>
      <c r="V311" s="167"/>
      <c r="W311" s="167"/>
      <c r="X311" s="167"/>
      <c r="Y311" s="167"/>
      <c r="Z311" s="167"/>
      <c r="AA311" s="167"/>
      <c r="AB311" s="167"/>
      <c r="AC311" s="167"/>
      <c r="AD311" s="167"/>
      <c r="AE311" s="167"/>
      <c r="AF311" s="167"/>
      <c r="AG311" s="167"/>
      <c r="AH311" s="167"/>
      <c r="AI311" s="167"/>
      <c r="AJ311" s="167"/>
    </row>
    <row r="312" spans="1:36" s="30" customFormat="1">
      <c r="A312" s="83">
        <f>IF(F312&lt;&gt;"",1+MAX($A$2:A311),"")</f>
        <v>249</v>
      </c>
      <c r="B312" s="84"/>
      <c r="C312" s="85"/>
      <c r="D312" s="58" t="s">
        <v>306</v>
      </c>
      <c r="E312" s="61">
        <v>4</v>
      </c>
      <c r="F312" s="60">
        <v>0</v>
      </c>
      <c r="G312" s="55">
        <f t="shared" si="264"/>
        <v>4</v>
      </c>
      <c r="H312" s="59" t="s">
        <v>71</v>
      </c>
      <c r="I312" s="131">
        <v>1.3</v>
      </c>
      <c r="J312" s="132">
        <f t="shared" si="265"/>
        <v>5.2</v>
      </c>
      <c r="K312" s="133">
        <f>'LABOR SHEET'!C$3</f>
        <v>128</v>
      </c>
      <c r="L312" s="134">
        <f t="shared" si="266"/>
        <v>166.4</v>
      </c>
      <c r="M312" s="134">
        <f t="shared" si="267"/>
        <v>665.6</v>
      </c>
      <c r="N312" s="134">
        <v>581.29999999999995</v>
      </c>
      <c r="O312" s="134">
        <f t="shared" si="268"/>
        <v>2325.1999999999998</v>
      </c>
      <c r="P312" s="134">
        <f t="shared" si="269"/>
        <v>747.7</v>
      </c>
      <c r="Q312" s="164">
        <f t="shared" si="270"/>
        <v>2990.8</v>
      </c>
      <c r="R312" s="167"/>
      <c r="S312" s="167"/>
      <c r="T312" s="167"/>
      <c r="U312" s="167"/>
      <c r="V312" s="167"/>
      <c r="W312" s="167"/>
      <c r="X312" s="167"/>
      <c r="Y312" s="167"/>
      <c r="Z312" s="167"/>
      <c r="AA312" s="167"/>
      <c r="AB312" s="167"/>
      <c r="AC312" s="167"/>
      <c r="AD312" s="167"/>
      <c r="AE312" s="167"/>
      <c r="AF312" s="167"/>
      <c r="AG312" s="167"/>
      <c r="AH312" s="167"/>
      <c r="AI312" s="167"/>
      <c r="AJ312" s="167"/>
    </row>
    <row r="313" spans="1:36" s="30" customFormat="1">
      <c r="A313" s="83">
        <f>IF(F313&lt;&gt;"",1+MAX($A$2:A312),"")</f>
        <v>250</v>
      </c>
      <c r="B313" s="84"/>
      <c r="C313" s="85"/>
      <c r="D313" s="58" t="s">
        <v>307</v>
      </c>
      <c r="E313" s="61">
        <v>3</v>
      </c>
      <c r="F313" s="60">
        <v>0</v>
      </c>
      <c r="G313" s="55">
        <f t="shared" si="264"/>
        <v>3</v>
      </c>
      <c r="H313" s="59" t="s">
        <v>71</v>
      </c>
      <c r="I313" s="131">
        <v>1.85</v>
      </c>
      <c r="J313" s="132">
        <f t="shared" ref="J313" si="277">+I313*G313</f>
        <v>5.55</v>
      </c>
      <c r="K313" s="133">
        <f>'LABOR SHEET'!C$3</f>
        <v>128</v>
      </c>
      <c r="L313" s="134">
        <f t="shared" ref="L313" si="278">I313*K313</f>
        <v>236.8</v>
      </c>
      <c r="M313" s="134">
        <f t="shared" ref="M313" si="279">K313*J313</f>
        <v>710.4</v>
      </c>
      <c r="N313" s="134">
        <v>219.9</v>
      </c>
      <c r="O313" s="134">
        <f t="shared" ref="O313" si="280">N313*G313</f>
        <v>659.7</v>
      </c>
      <c r="P313" s="134">
        <f t="shared" ref="P313" si="281">(I313*K313)+N313</f>
        <v>456.7</v>
      </c>
      <c r="Q313" s="164">
        <f t="shared" ref="Q313" si="282">P313*G313</f>
        <v>1370.1</v>
      </c>
      <c r="R313" s="167"/>
      <c r="S313" s="167"/>
      <c r="T313" s="167"/>
      <c r="U313" s="167"/>
      <c r="V313" s="167"/>
      <c r="W313" s="167"/>
      <c r="X313" s="167"/>
      <c r="Y313" s="167"/>
      <c r="Z313" s="167"/>
      <c r="AA313" s="167"/>
      <c r="AB313" s="167"/>
      <c r="AC313" s="167"/>
      <c r="AD313" s="167"/>
      <c r="AE313" s="167"/>
      <c r="AF313" s="167"/>
      <c r="AG313" s="167"/>
      <c r="AH313" s="167"/>
      <c r="AI313" s="167"/>
      <c r="AJ313" s="167"/>
    </row>
    <row r="314" spans="1:36" s="30" customFormat="1" ht="31.2">
      <c r="A314" s="83">
        <f>IF(F314&lt;&gt;"",1+MAX($A$2:A313),"")</f>
        <v>251</v>
      </c>
      <c r="B314" s="84"/>
      <c r="C314" s="85"/>
      <c r="D314" s="58" t="s">
        <v>308</v>
      </c>
      <c r="E314" s="61">
        <v>4</v>
      </c>
      <c r="F314" s="60">
        <v>0</v>
      </c>
      <c r="G314" s="55">
        <f t="shared" si="264"/>
        <v>4</v>
      </c>
      <c r="H314" s="59" t="s">
        <v>71</v>
      </c>
      <c r="I314" s="131">
        <v>7</v>
      </c>
      <c r="J314" s="132">
        <f t="shared" si="265"/>
        <v>28</v>
      </c>
      <c r="K314" s="133">
        <f>'LABOR SHEET'!C$3</f>
        <v>128</v>
      </c>
      <c r="L314" s="134">
        <f t="shared" si="266"/>
        <v>896</v>
      </c>
      <c r="M314" s="134">
        <f t="shared" si="267"/>
        <v>3584</v>
      </c>
      <c r="N314" s="134">
        <v>2100</v>
      </c>
      <c r="O314" s="134">
        <f t="shared" si="268"/>
        <v>8400</v>
      </c>
      <c r="P314" s="134">
        <f t="shared" si="269"/>
        <v>2996</v>
      </c>
      <c r="Q314" s="164">
        <f t="shared" si="270"/>
        <v>11984</v>
      </c>
      <c r="R314" s="167"/>
      <c r="S314" s="167"/>
      <c r="T314" s="167"/>
      <c r="U314" s="167"/>
      <c r="V314" s="167"/>
      <c r="W314" s="167"/>
      <c r="X314" s="167"/>
      <c r="Y314" s="167"/>
      <c r="Z314" s="167"/>
      <c r="AA314" s="167"/>
      <c r="AB314" s="167"/>
      <c r="AC314" s="167"/>
      <c r="AD314" s="167"/>
      <c r="AE314" s="167"/>
      <c r="AF314" s="167"/>
      <c r="AG314" s="167"/>
      <c r="AH314" s="167"/>
      <c r="AI314" s="167"/>
      <c r="AJ314" s="167"/>
    </row>
    <row r="315" spans="1:36" s="30" customFormat="1">
      <c r="A315" s="83">
        <f>IF(F315&lt;&gt;"",1+MAX($A$2:A314),"")</f>
        <v>252</v>
      </c>
      <c r="B315" s="84"/>
      <c r="C315" s="85"/>
      <c r="D315" s="58" t="s">
        <v>309</v>
      </c>
      <c r="E315" s="61">
        <v>12</v>
      </c>
      <c r="F315" s="60">
        <v>0</v>
      </c>
      <c r="G315" s="55">
        <f t="shared" si="264"/>
        <v>12</v>
      </c>
      <c r="H315" s="59" t="s">
        <v>71</v>
      </c>
      <c r="I315" s="131">
        <v>1</v>
      </c>
      <c r="J315" s="132">
        <f t="shared" si="265"/>
        <v>12</v>
      </c>
      <c r="K315" s="133">
        <f>'LABOR SHEET'!C$3</f>
        <v>128</v>
      </c>
      <c r="L315" s="134">
        <f t="shared" si="266"/>
        <v>128</v>
      </c>
      <c r="M315" s="134">
        <f t="shared" si="267"/>
        <v>1536</v>
      </c>
      <c r="N315" s="134">
        <v>134.9</v>
      </c>
      <c r="O315" s="134">
        <f t="shared" si="268"/>
        <v>1618.8</v>
      </c>
      <c r="P315" s="134">
        <f t="shared" si="269"/>
        <v>262.89999999999998</v>
      </c>
      <c r="Q315" s="164">
        <f t="shared" si="270"/>
        <v>3154.8</v>
      </c>
      <c r="R315" s="167"/>
      <c r="S315" s="167"/>
      <c r="T315" s="167"/>
      <c r="U315" s="167"/>
      <c r="V315" s="167"/>
      <c r="W315" s="167"/>
      <c r="X315" s="167"/>
      <c r="Y315" s="167"/>
      <c r="Z315" s="167"/>
      <c r="AA315" s="167"/>
      <c r="AB315" s="167"/>
      <c r="AC315" s="167"/>
      <c r="AD315" s="167"/>
      <c r="AE315" s="167"/>
      <c r="AF315" s="167"/>
      <c r="AG315" s="167"/>
      <c r="AH315" s="167"/>
      <c r="AI315" s="167"/>
      <c r="AJ315" s="167"/>
    </row>
    <row r="316" spans="1:36" s="30" customFormat="1">
      <c r="A316" s="83">
        <f>IF(F316&lt;&gt;"",1+MAX($A$2:A315),"")</f>
        <v>253</v>
      </c>
      <c r="B316" s="84"/>
      <c r="C316" s="85"/>
      <c r="D316" s="58" t="s">
        <v>310</v>
      </c>
      <c r="E316" s="61">
        <v>68</v>
      </c>
      <c r="F316" s="60">
        <v>0</v>
      </c>
      <c r="G316" s="55">
        <f t="shared" si="264"/>
        <v>68</v>
      </c>
      <c r="H316" s="59" t="s">
        <v>71</v>
      </c>
      <c r="I316" s="131">
        <v>0.25</v>
      </c>
      <c r="J316" s="132">
        <f t="shared" si="265"/>
        <v>17</v>
      </c>
      <c r="K316" s="133">
        <f>'LABOR SHEET'!C$3</f>
        <v>128</v>
      </c>
      <c r="L316" s="134">
        <f t="shared" si="266"/>
        <v>32</v>
      </c>
      <c r="M316" s="134">
        <f t="shared" si="267"/>
        <v>2176</v>
      </c>
      <c r="N316" s="134">
        <v>38</v>
      </c>
      <c r="O316" s="134">
        <f t="shared" si="268"/>
        <v>2584</v>
      </c>
      <c r="P316" s="134">
        <f t="shared" si="269"/>
        <v>70</v>
      </c>
      <c r="Q316" s="164">
        <f t="shared" si="270"/>
        <v>4760</v>
      </c>
      <c r="R316" s="167"/>
      <c r="S316" s="167"/>
      <c r="T316" s="167"/>
      <c r="U316" s="167"/>
      <c r="V316" s="167"/>
      <c r="W316" s="167"/>
      <c r="X316" s="167"/>
      <c r="Y316" s="167"/>
      <c r="Z316" s="167"/>
      <c r="AA316" s="167"/>
      <c r="AB316" s="167"/>
      <c r="AC316" s="167"/>
      <c r="AD316" s="167"/>
      <c r="AE316" s="167"/>
      <c r="AF316" s="167"/>
      <c r="AG316" s="167"/>
      <c r="AH316" s="167"/>
      <c r="AI316" s="167"/>
      <c r="AJ316" s="167"/>
    </row>
    <row r="317" spans="1:36" s="30" customFormat="1">
      <c r="A317" s="83">
        <f>IF(F317&lt;&gt;"",1+MAX($A$2:A316),"")</f>
        <v>254</v>
      </c>
      <c r="B317" s="84"/>
      <c r="C317" s="85"/>
      <c r="D317" s="58" t="s">
        <v>311</v>
      </c>
      <c r="E317" s="61">
        <v>3</v>
      </c>
      <c r="F317" s="60">
        <v>0</v>
      </c>
      <c r="G317" s="55">
        <f t="shared" si="264"/>
        <v>3</v>
      </c>
      <c r="H317" s="59" t="s">
        <v>71</v>
      </c>
      <c r="I317" s="131">
        <v>0.26</v>
      </c>
      <c r="J317" s="132">
        <f t="shared" si="265"/>
        <v>0.78</v>
      </c>
      <c r="K317" s="133">
        <f>'LABOR SHEET'!C$3</f>
        <v>128</v>
      </c>
      <c r="L317" s="134">
        <f t="shared" si="266"/>
        <v>33.28</v>
      </c>
      <c r="M317" s="134">
        <f t="shared" si="267"/>
        <v>99.84</v>
      </c>
      <c r="N317" s="134">
        <v>42</v>
      </c>
      <c r="O317" s="134">
        <f t="shared" si="268"/>
        <v>126</v>
      </c>
      <c r="P317" s="134">
        <f t="shared" si="269"/>
        <v>75.28</v>
      </c>
      <c r="Q317" s="164">
        <f t="shared" si="270"/>
        <v>225.84</v>
      </c>
      <c r="R317" s="167"/>
      <c r="S317" s="167"/>
      <c r="T317" s="167"/>
      <c r="U317" s="167"/>
      <c r="V317" s="167"/>
      <c r="W317" s="167"/>
      <c r="X317" s="167"/>
      <c r="Y317" s="167"/>
      <c r="Z317" s="167"/>
      <c r="AA317" s="167"/>
      <c r="AB317" s="167"/>
      <c r="AC317" s="167"/>
      <c r="AD317" s="167"/>
      <c r="AE317" s="167"/>
      <c r="AF317" s="167"/>
      <c r="AG317" s="167"/>
      <c r="AH317" s="167"/>
      <c r="AI317" s="167"/>
      <c r="AJ317" s="167"/>
    </row>
    <row r="318" spans="1:36" s="30" customFormat="1">
      <c r="A318" s="83">
        <f>IF(F318&lt;&gt;"",1+MAX($A$2:A317),"")</f>
        <v>255</v>
      </c>
      <c r="B318" s="84"/>
      <c r="C318" s="85"/>
      <c r="D318" s="58" t="s">
        <v>312</v>
      </c>
      <c r="E318" s="61">
        <v>4</v>
      </c>
      <c r="F318" s="60">
        <v>0</v>
      </c>
      <c r="G318" s="55">
        <f t="shared" si="264"/>
        <v>4</v>
      </c>
      <c r="H318" s="59" t="s">
        <v>71</v>
      </c>
      <c r="I318" s="131">
        <v>0.4</v>
      </c>
      <c r="J318" s="132">
        <f t="shared" si="265"/>
        <v>1.6</v>
      </c>
      <c r="K318" s="133">
        <f>'LABOR SHEET'!C$3</f>
        <v>128</v>
      </c>
      <c r="L318" s="134">
        <f t="shared" si="266"/>
        <v>51.2</v>
      </c>
      <c r="M318" s="134">
        <f t="shared" si="267"/>
        <v>204.8</v>
      </c>
      <c r="N318" s="134">
        <v>55</v>
      </c>
      <c r="O318" s="134">
        <f t="shared" si="268"/>
        <v>220</v>
      </c>
      <c r="P318" s="134">
        <f t="shared" si="269"/>
        <v>106.2</v>
      </c>
      <c r="Q318" s="164">
        <f t="shared" si="270"/>
        <v>424.8</v>
      </c>
      <c r="R318" s="167"/>
      <c r="S318" s="167"/>
      <c r="T318" s="167"/>
      <c r="U318" s="167"/>
      <c r="V318" s="167"/>
      <c r="W318" s="167"/>
      <c r="X318" s="167"/>
      <c r="Y318" s="167"/>
      <c r="Z318" s="167"/>
      <c r="AA318" s="167"/>
      <c r="AB318" s="167"/>
      <c r="AC318" s="167"/>
      <c r="AD318" s="167"/>
      <c r="AE318" s="167"/>
      <c r="AF318" s="167"/>
      <c r="AG318" s="167"/>
      <c r="AH318" s="167"/>
      <c r="AI318" s="167"/>
      <c r="AJ318" s="167"/>
    </row>
    <row r="319" spans="1:36" s="30" customFormat="1">
      <c r="A319" s="83">
        <f>IF(F319&lt;&gt;"",1+MAX($A$2:A318),"")</f>
        <v>256</v>
      </c>
      <c r="B319" s="84"/>
      <c r="C319" s="85"/>
      <c r="D319" s="58" t="s">
        <v>313</v>
      </c>
      <c r="E319" s="61">
        <v>3</v>
      </c>
      <c r="F319" s="60">
        <v>0</v>
      </c>
      <c r="G319" s="55">
        <f t="shared" si="264"/>
        <v>3</v>
      </c>
      <c r="H319" s="59" t="s">
        <v>71</v>
      </c>
      <c r="I319" s="131">
        <v>0.55000000000000004</v>
      </c>
      <c r="J319" s="132">
        <f t="shared" si="265"/>
        <v>1.65</v>
      </c>
      <c r="K319" s="133">
        <f>'LABOR SHEET'!C$3</f>
        <v>128</v>
      </c>
      <c r="L319" s="134">
        <f t="shared" si="266"/>
        <v>70.400000000000006</v>
      </c>
      <c r="M319" s="134">
        <f t="shared" si="267"/>
        <v>211.2</v>
      </c>
      <c r="N319" s="134">
        <v>86</v>
      </c>
      <c r="O319" s="134">
        <f t="shared" si="268"/>
        <v>258</v>
      </c>
      <c r="P319" s="134">
        <f t="shared" si="269"/>
        <v>156.4</v>
      </c>
      <c r="Q319" s="164">
        <f t="shared" si="270"/>
        <v>469.2</v>
      </c>
      <c r="R319" s="167"/>
      <c r="S319" s="167"/>
      <c r="T319" s="167"/>
      <c r="U319" s="167"/>
      <c r="V319" s="167"/>
      <c r="W319" s="167"/>
      <c r="X319" s="167"/>
      <c r="Y319" s="167"/>
      <c r="Z319" s="167"/>
      <c r="AA319" s="167"/>
      <c r="AB319" s="167"/>
      <c r="AC319" s="167"/>
      <c r="AD319" s="167"/>
      <c r="AE319" s="167"/>
      <c r="AF319" s="167"/>
      <c r="AG319" s="167"/>
      <c r="AH319" s="167"/>
      <c r="AI319" s="167"/>
      <c r="AJ319" s="167"/>
    </row>
    <row r="320" spans="1:36" s="30" customFormat="1">
      <c r="A320" s="83">
        <f>IF(F320&lt;&gt;"",1+MAX($A$2:A319),"")</f>
        <v>257</v>
      </c>
      <c r="B320" s="84"/>
      <c r="C320" s="85"/>
      <c r="D320" s="58" t="s">
        <v>314</v>
      </c>
      <c r="E320" s="61">
        <v>1</v>
      </c>
      <c r="F320" s="60">
        <v>0</v>
      </c>
      <c r="G320" s="55">
        <f t="shared" si="264"/>
        <v>1</v>
      </c>
      <c r="H320" s="59" t="s">
        <v>71</v>
      </c>
      <c r="I320" s="131">
        <v>1</v>
      </c>
      <c r="J320" s="132">
        <f t="shared" si="265"/>
        <v>1</v>
      </c>
      <c r="K320" s="133">
        <f>'LABOR SHEET'!C$3</f>
        <v>128</v>
      </c>
      <c r="L320" s="134">
        <f t="shared" si="266"/>
        <v>128</v>
      </c>
      <c r="M320" s="134">
        <f t="shared" si="267"/>
        <v>128</v>
      </c>
      <c r="N320" s="134">
        <v>212</v>
      </c>
      <c r="O320" s="134">
        <f t="shared" si="268"/>
        <v>212</v>
      </c>
      <c r="P320" s="134">
        <f t="shared" si="269"/>
        <v>340</v>
      </c>
      <c r="Q320" s="164">
        <f t="shared" si="270"/>
        <v>340</v>
      </c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  <c r="AI320" s="167"/>
      <c r="AJ320" s="167"/>
    </row>
    <row r="321" spans="1:36" s="30" customFormat="1">
      <c r="A321" s="83">
        <f>IF(F321&lt;&gt;"",1+MAX($A$2:A320),"")</f>
        <v>258</v>
      </c>
      <c r="B321" s="84"/>
      <c r="C321" s="85"/>
      <c r="D321" s="58" t="s">
        <v>315</v>
      </c>
      <c r="E321" s="61">
        <v>2</v>
      </c>
      <c r="F321" s="60">
        <v>0</v>
      </c>
      <c r="G321" s="55">
        <f t="shared" si="264"/>
        <v>2</v>
      </c>
      <c r="H321" s="59" t="s">
        <v>71</v>
      </c>
      <c r="I321" s="131">
        <v>1</v>
      </c>
      <c r="J321" s="132">
        <f t="shared" ref="J321" si="283">+I321*G321</f>
        <v>2</v>
      </c>
      <c r="K321" s="133">
        <f>'LABOR SHEET'!C$3</f>
        <v>128</v>
      </c>
      <c r="L321" s="134">
        <f t="shared" ref="L321" si="284">I321*K321</f>
        <v>128</v>
      </c>
      <c r="M321" s="134">
        <f t="shared" ref="M321" si="285">K321*J321</f>
        <v>256</v>
      </c>
      <c r="N321" s="134">
        <v>152</v>
      </c>
      <c r="O321" s="134">
        <f t="shared" ref="O321" si="286">N321*G321</f>
        <v>304</v>
      </c>
      <c r="P321" s="134">
        <f t="shared" ref="P321" si="287">(I321*K321)+N321</f>
        <v>280</v>
      </c>
      <c r="Q321" s="164">
        <f t="shared" ref="Q321" si="288">P321*G321</f>
        <v>560</v>
      </c>
      <c r="R321" s="167"/>
      <c r="S321" s="167"/>
      <c r="T321" s="167"/>
      <c r="U321" s="167"/>
      <c r="V321" s="167"/>
      <c r="W321" s="167"/>
      <c r="X321" s="167"/>
      <c r="Y321" s="167"/>
      <c r="Z321" s="167"/>
      <c r="AA321" s="167"/>
      <c r="AB321" s="167"/>
      <c r="AC321" s="167"/>
      <c r="AD321" s="167"/>
      <c r="AE321" s="167"/>
      <c r="AF321" s="167"/>
      <c r="AG321" s="167"/>
      <c r="AH321" s="167"/>
      <c r="AI321" s="167"/>
      <c r="AJ321" s="167"/>
    </row>
    <row r="322" spans="1:36" s="30" customFormat="1">
      <c r="A322" s="83">
        <f>IF(F322&lt;&gt;"",1+MAX($A$2:A321),"")</f>
        <v>259</v>
      </c>
      <c r="B322" s="84"/>
      <c r="C322" s="85"/>
      <c r="D322" s="58" t="s">
        <v>316</v>
      </c>
      <c r="E322" s="61">
        <v>1</v>
      </c>
      <c r="F322" s="60">
        <v>0</v>
      </c>
      <c r="G322" s="55">
        <f t="shared" si="264"/>
        <v>1</v>
      </c>
      <c r="H322" s="59" t="s">
        <v>71</v>
      </c>
      <c r="I322" s="131">
        <v>0.7</v>
      </c>
      <c r="J322" s="132">
        <f t="shared" si="265"/>
        <v>0.7</v>
      </c>
      <c r="K322" s="133">
        <f>'LABOR SHEET'!C$3</f>
        <v>128</v>
      </c>
      <c r="L322" s="134">
        <f t="shared" si="266"/>
        <v>89.6</v>
      </c>
      <c r="M322" s="134">
        <f t="shared" si="267"/>
        <v>89.6</v>
      </c>
      <c r="N322" s="134">
        <v>171.61</v>
      </c>
      <c r="O322" s="134">
        <f t="shared" si="268"/>
        <v>171.61</v>
      </c>
      <c r="P322" s="134">
        <f t="shared" si="269"/>
        <v>261.20999999999998</v>
      </c>
      <c r="Q322" s="164">
        <f t="shared" si="270"/>
        <v>261.20999999999998</v>
      </c>
      <c r="R322" s="167"/>
      <c r="S322" s="167"/>
      <c r="T322" s="167"/>
      <c r="U322" s="167"/>
      <c r="V322" s="167"/>
      <c r="W322" s="167"/>
      <c r="X322" s="167"/>
      <c r="Y322" s="167"/>
      <c r="Z322" s="167"/>
      <c r="AA322" s="167"/>
      <c r="AB322" s="167"/>
      <c r="AC322" s="167"/>
      <c r="AD322" s="167"/>
      <c r="AE322" s="167"/>
      <c r="AF322" s="167"/>
      <c r="AG322" s="167"/>
      <c r="AH322" s="167"/>
      <c r="AI322" s="167"/>
      <c r="AJ322" s="167"/>
    </row>
    <row r="323" spans="1:36" s="30" customFormat="1">
      <c r="A323" s="83">
        <f>IF(F323&lt;&gt;"",1+MAX($A$2:A322),"")</f>
        <v>260</v>
      </c>
      <c r="B323" s="84"/>
      <c r="C323" s="85"/>
      <c r="D323" s="58" t="s">
        <v>317</v>
      </c>
      <c r="E323" s="61">
        <v>10</v>
      </c>
      <c r="F323" s="60">
        <v>0</v>
      </c>
      <c r="G323" s="55">
        <f t="shared" si="264"/>
        <v>10</v>
      </c>
      <c r="H323" s="59" t="s">
        <v>71</v>
      </c>
      <c r="I323" s="131">
        <v>0.68</v>
      </c>
      <c r="J323" s="132">
        <f t="shared" si="265"/>
        <v>6.8</v>
      </c>
      <c r="K323" s="133">
        <f>'LABOR SHEET'!C$3</f>
        <v>128</v>
      </c>
      <c r="L323" s="134">
        <f t="shared" si="266"/>
        <v>87.04</v>
      </c>
      <c r="M323" s="134">
        <f t="shared" si="267"/>
        <v>870.4</v>
      </c>
      <c r="N323" s="134">
        <v>88</v>
      </c>
      <c r="O323" s="134">
        <f t="shared" si="268"/>
        <v>880</v>
      </c>
      <c r="P323" s="134">
        <f t="shared" si="269"/>
        <v>175.04</v>
      </c>
      <c r="Q323" s="164">
        <f t="shared" si="270"/>
        <v>1750.4</v>
      </c>
      <c r="R323" s="167"/>
      <c r="S323" s="167"/>
      <c r="T323" s="167"/>
      <c r="U323" s="167"/>
      <c r="V323" s="167"/>
      <c r="W323" s="167"/>
      <c r="X323" s="167"/>
      <c r="Y323" s="167"/>
      <c r="Z323" s="167"/>
      <c r="AA323" s="167"/>
      <c r="AB323" s="167"/>
      <c r="AC323" s="167"/>
      <c r="AD323" s="167"/>
      <c r="AE323" s="167"/>
      <c r="AF323" s="167"/>
      <c r="AG323" s="167"/>
      <c r="AH323" s="167"/>
      <c r="AI323" s="167"/>
      <c r="AJ323" s="167"/>
    </row>
    <row r="324" spans="1:36" s="30" customFormat="1">
      <c r="A324" s="83">
        <f>IF(F324&lt;&gt;"",1+MAX($A$2:A323),"")</f>
        <v>261</v>
      </c>
      <c r="B324" s="84"/>
      <c r="C324" s="85"/>
      <c r="D324" s="58" t="s">
        <v>318</v>
      </c>
      <c r="E324" s="61">
        <v>2</v>
      </c>
      <c r="F324" s="60">
        <v>0</v>
      </c>
      <c r="G324" s="55">
        <f t="shared" si="264"/>
        <v>2</v>
      </c>
      <c r="H324" s="59" t="s">
        <v>71</v>
      </c>
      <c r="I324" s="131">
        <v>0.25</v>
      </c>
      <c r="J324" s="132">
        <f t="shared" si="265"/>
        <v>0.5</v>
      </c>
      <c r="K324" s="133">
        <f>'LABOR SHEET'!C$3</f>
        <v>128</v>
      </c>
      <c r="L324" s="134">
        <f t="shared" si="266"/>
        <v>32</v>
      </c>
      <c r="M324" s="134">
        <f t="shared" si="267"/>
        <v>64</v>
      </c>
      <c r="N324" s="134">
        <v>35</v>
      </c>
      <c r="O324" s="134">
        <f t="shared" si="268"/>
        <v>70</v>
      </c>
      <c r="P324" s="134">
        <f t="shared" si="269"/>
        <v>67</v>
      </c>
      <c r="Q324" s="164">
        <f t="shared" si="270"/>
        <v>134</v>
      </c>
      <c r="R324" s="167"/>
      <c r="S324" s="167"/>
      <c r="T324" s="167"/>
      <c r="U324" s="167"/>
      <c r="V324" s="167"/>
      <c r="W324" s="167"/>
      <c r="X324" s="167"/>
      <c r="Y324" s="167"/>
      <c r="Z324" s="167"/>
      <c r="AA324" s="167"/>
      <c r="AB324" s="167"/>
      <c r="AC324" s="167"/>
      <c r="AD324" s="167"/>
      <c r="AE324" s="167"/>
      <c r="AF324" s="167"/>
      <c r="AG324" s="167"/>
      <c r="AH324" s="167"/>
      <c r="AI324" s="167"/>
      <c r="AJ324" s="167"/>
    </row>
    <row r="325" spans="1:36" s="30" customFormat="1" ht="31.2">
      <c r="A325" s="83">
        <f>IF(F325&lt;&gt;"",1+MAX($A$2:A324),"")</f>
        <v>262</v>
      </c>
      <c r="B325" s="84"/>
      <c r="C325" s="85"/>
      <c r="D325" s="58" t="s">
        <v>319</v>
      </c>
      <c r="E325" s="61">
        <v>2</v>
      </c>
      <c r="F325" s="60">
        <v>0</v>
      </c>
      <c r="G325" s="55">
        <f t="shared" si="264"/>
        <v>2</v>
      </c>
      <c r="H325" s="59" t="s">
        <v>71</v>
      </c>
      <c r="I325" s="131">
        <v>0.26</v>
      </c>
      <c r="J325" s="132">
        <f t="shared" ref="J325" si="289">+I325*G325</f>
        <v>0.52</v>
      </c>
      <c r="K325" s="133">
        <f>'LABOR SHEET'!C$3</f>
        <v>128</v>
      </c>
      <c r="L325" s="134">
        <f t="shared" ref="L325" si="290">I325*K325</f>
        <v>33.28</v>
      </c>
      <c r="M325" s="134">
        <f t="shared" ref="M325" si="291">K325*J325</f>
        <v>66.56</v>
      </c>
      <c r="N325" s="134">
        <v>42</v>
      </c>
      <c r="O325" s="134">
        <f t="shared" ref="O325" si="292">N325*G325</f>
        <v>84</v>
      </c>
      <c r="P325" s="134">
        <f t="shared" ref="P325" si="293">(I325*K325)+N325</f>
        <v>75.28</v>
      </c>
      <c r="Q325" s="164">
        <f t="shared" ref="Q325" si="294">P325*G325</f>
        <v>150.56</v>
      </c>
      <c r="R325" s="167"/>
      <c r="S325" s="167"/>
      <c r="T325" s="167"/>
      <c r="U325" s="167"/>
      <c r="V325" s="167"/>
      <c r="W325" s="167"/>
      <c r="X325" s="167"/>
      <c r="Y325" s="167"/>
      <c r="Z325" s="167"/>
      <c r="AA325" s="167"/>
      <c r="AB325" s="167"/>
      <c r="AC325" s="167"/>
      <c r="AD325" s="167"/>
      <c r="AE325" s="167"/>
      <c r="AF325" s="167"/>
      <c r="AG325" s="167"/>
      <c r="AH325" s="167"/>
      <c r="AI325" s="167"/>
      <c r="AJ325" s="167"/>
    </row>
    <row r="326" spans="1:36" s="30" customFormat="1">
      <c r="A326" s="83">
        <f>IF(F326&lt;&gt;"",1+MAX($A$2:A325),"")</f>
        <v>263</v>
      </c>
      <c r="B326" s="84"/>
      <c r="C326" s="85"/>
      <c r="D326" s="58" t="s">
        <v>320</v>
      </c>
      <c r="E326" s="61">
        <v>2</v>
      </c>
      <c r="F326" s="60">
        <v>0</v>
      </c>
      <c r="G326" s="55">
        <f t="shared" si="264"/>
        <v>2</v>
      </c>
      <c r="H326" s="59" t="s">
        <v>71</v>
      </c>
      <c r="I326" s="131">
        <v>1.1000000000000001</v>
      </c>
      <c r="J326" s="132">
        <f t="shared" si="265"/>
        <v>2.2000000000000002</v>
      </c>
      <c r="K326" s="133">
        <f>'LABOR SHEET'!C$3</f>
        <v>128</v>
      </c>
      <c r="L326" s="134">
        <f t="shared" si="266"/>
        <v>140.80000000000001</v>
      </c>
      <c r="M326" s="134">
        <f t="shared" si="267"/>
        <v>281.60000000000002</v>
      </c>
      <c r="N326" s="134">
        <v>496.96</v>
      </c>
      <c r="O326" s="134">
        <f t="shared" si="268"/>
        <v>993.92</v>
      </c>
      <c r="P326" s="134">
        <f t="shared" si="269"/>
        <v>637.76</v>
      </c>
      <c r="Q326" s="164">
        <f t="shared" si="270"/>
        <v>1275.52</v>
      </c>
      <c r="R326" s="167"/>
      <c r="S326" s="167"/>
      <c r="T326" s="167"/>
      <c r="U326" s="167"/>
      <c r="V326" s="167"/>
      <c r="W326" s="167"/>
      <c r="X326" s="167"/>
      <c r="Y326" s="167"/>
      <c r="Z326" s="167"/>
      <c r="AA326" s="167"/>
      <c r="AB326" s="167"/>
      <c r="AC326" s="167"/>
      <c r="AD326" s="167"/>
      <c r="AE326" s="167"/>
      <c r="AF326" s="167"/>
      <c r="AG326" s="167"/>
      <c r="AH326" s="167"/>
      <c r="AI326" s="167"/>
      <c r="AJ326" s="167"/>
    </row>
    <row r="327" spans="1:36" s="30" customFormat="1">
      <c r="A327" s="83">
        <f>IF(F327&lt;&gt;"",1+MAX($A$2:A326),"")</f>
        <v>264</v>
      </c>
      <c r="B327" s="84"/>
      <c r="C327" s="85"/>
      <c r="D327" s="58" t="s">
        <v>321</v>
      </c>
      <c r="E327" s="61">
        <v>8</v>
      </c>
      <c r="F327" s="60">
        <v>0</v>
      </c>
      <c r="G327" s="55">
        <f t="shared" si="264"/>
        <v>8</v>
      </c>
      <c r="H327" s="59" t="s">
        <v>71</v>
      </c>
      <c r="I327" s="131">
        <v>1</v>
      </c>
      <c r="J327" s="132">
        <f t="shared" ref="J327" si="295">+I327*G327</f>
        <v>8</v>
      </c>
      <c r="K327" s="133">
        <f>'LABOR SHEET'!C$3</f>
        <v>128</v>
      </c>
      <c r="L327" s="134">
        <f t="shared" ref="L327" si="296">I327*K327</f>
        <v>128</v>
      </c>
      <c r="M327" s="134">
        <f t="shared" ref="M327" si="297">K327*J327</f>
        <v>1024</v>
      </c>
      <c r="N327" s="134">
        <v>134.9</v>
      </c>
      <c r="O327" s="134">
        <f t="shared" ref="O327" si="298">N327*G327</f>
        <v>1079.2</v>
      </c>
      <c r="P327" s="134">
        <f t="shared" ref="P327" si="299">(I327*K327)+N327</f>
        <v>262.89999999999998</v>
      </c>
      <c r="Q327" s="164">
        <f t="shared" ref="Q327" si="300">P327*G327</f>
        <v>2103.1999999999998</v>
      </c>
      <c r="R327" s="167"/>
      <c r="S327" s="167"/>
      <c r="T327" s="167"/>
      <c r="U327" s="167"/>
      <c r="V327" s="167"/>
      <c r="W327" s="167"/>
      <c r="X327" s="167"/>
      <c r="Y327" s="167"/>
      <c r="Z327" s="167"/>
      <c r="AA327" s="167"/>
      <c r="AB327" s="167"/>
      <c r="AC327" s="167"/>
      <c r="AD327" s="167"/>
      <c r="AE327" s="167"/>
      <c r="AF327" s="167"/>
      <c r="AG327" s="167"/>
      <c r="AH327" s="167"/>
      <c r="AI327" s="167"/>
      <c r="AJ327" s="167"/>
    </row>
    <row r="328" spans="1:36" s="30" customFormat="1">
      <c r="A328" s="83">
        <f>IF(F328&lt;&gt;"",1+MAX($A$2:A327),"")</f>
        <v>265</v>
      </c>
      <c r="B328" s="84"/>
      <c r="C328" s="85"/>
      <c r="D328" s="58" t="s">
        <v>322</v>
      </c>
      <c r="E328" s="61">
        <v>1</v>
      </c>
      <c r="F328" s="60">
        <v>0</v>
      </c>
      <c r="G328" s="55">
        <f t="shared" si="264"/>
        <v>1</v>
      </c>
      <c r="H328" s="59" t="s">
        <v>71</v>
      </c>
      <c r="I328" s="131">
        <v>0.7</v>
      </c>
      <c r="J328" s="132">
        <f t="shared" si="265"/>
        <v>0.7</v>
      </c>
      <c r="K328" s="133">
        <f>'LABOR SHEET'!C$3</f>
        <v>128</v>
      </c>
      <c r="L328" s="134">
        <f t="shared" si="266"/>
        <v>89.6</v>
      </c>
      <c r="M328" s="134">
        <f t="shared" si="267"/>
        <v>89.6</v>
      </c>
      <c r="N328" s="134">
        <v>110</v>
      </c>
      <c r="O328" s="134">
        <f t="shared" si="268"/>
        <v>110</v>
      </c>
      <c r="P328" s="134">
        <f t="shared" si="269"/>
        <v>199.6</v>
      </c>
      <c r="Q328" s="164">
        <f t="shared" si="270"/>
        <v>199.6</v>
      </c>
      <c r="R328" s="167"/>
      <c r="S328" s="167"/>
      <c r="T328" s="167"/>
      <c r="U328" s="167"/>
      <c r="V328" s="167"/>
      <c r="W328" s="167"/>
      <c r="X328" s="167"/>
      <c r="Y328" s="167"/>
      <c r="Z328" s="167"/>
      <c r="AA328" s="167"/>
      <c r="AB328" s="167"/>
      <c r="AC328" s="167"/>
      <c r="AD328" s="167"/>
      <c r="AE328" s="167"/>
      <c r="AF328" s="167"/>
      <c r="AG328" s="167"/>
      <c r="AH328" s="167"/>
      <c r="AI328" s="167"/>
      <c r="AJ328" s="167"/>
    </row>
    <row r="329" spans="1:36" s="30" customFormat="1">
      <c r="A329" s="83">
        <f>IF(F329&lt;&gt;"",1+MAX($A$2:A328),"")</f>
        <v>266</v>
      </c>
      <c r="B329" s="84"/>
      <c r="C329" s="85"/>
      <c r="D329" s="58" t="s">
        <v>323</v>
      </c>
      <c r="E329" s="61">
        <v>81</v>
      </c>
      <c r="F329" s="60">
        <v>0</v>
      </c>
      <c r="G329" s="55">
        <f t="shared" si="264"/>
        <v>81</v>
      </c>
      <c r="H329" s="59" t="s">
        <v>71</v>
      </c>
      <c r="I329" s="131">
        <v>0.3</v>
      </c>
      <c r="J329" s="132">
        <f t="shared" si="265"/>
        <v>24.3</v>
      </c>
      <c r="K329" s="133">
        <f>'LABOR SHEET'!C$3</f>
        <v>128</v>
      </c>
      <c r="L329" s="134">
        <f t="shared" si="266"/>
        <v>38.4</v>
      </c>
      <c r="M329" s="134">
        <f t="shared" si="267"/>
        <v>3110.4</v>
      </c>
      <c r="N329" s="134">
        <v>18.989999999999998</v>
      </c>
      <c r="O329" s="134">
        <f t="shared" si="268"/>
        <v>1538.19</v>
      </c>
      <c r="P329" s="134">
        <f t="shared" si="269"/>
        <v>57.39</v>
      </c>
      <c r="Q329" s="164">
        <f t="shared" si="270"/>
        <v>4648.59</v>
      </c>
      <c r="R329" s="167"/>
      <c r="S329" s="167"/>
      <c r="T329" s="167"/>
      <c r="U329" s="167"/>
      <c r="V329" s="167"/>
      <c r="W329" s="167"/>
      <c r="X329" s="167"/>
      <c r="Y329" s="167"/>
      <c r="Z329" s="167"/>
      <c r="AA329" s="167"/>
      <c r="AB329" s="167"/>
      <c r="AC329" s="167"/>
      <c r="AD329" s="167"/>
      <c r="AE329" s="167"/>
      <c r="AF329" s="167"/>
      <c r="AG329" s="167"/>
      <c r="AH329" s="167"/>
      <c r="AI329" s="167"/>
      <c r="AJ329" s="167"/>
    </row>
    <row r="330" spans="1:36" s="30" customFormat="1">
      <c r="A330" s="83">
        <f>IF(F330&lt;&gt;"",1+MAX($A$2:A329),"")</f>
        <v>267</v>
      </c>
      <c r="B330" s="84"/>
      <c r="C330" s="85"/>
      <c r="D330" s="58" t="s">
        <v>324</v>
      </c>
      <c r="E330" s="61">
        <v>9</v>
      </c>
      <c r="F330" s="60">
        <v>0</v>
      </c>
      <c r="G330" s="55">
        <f t="shared" si="264"/>
        <v>9</v>
      </c>
      <c r="H330" s="59" t="s">
        <v>71</v>
      </c>
      <c r="I330" s="131">
        <v>0.2</v>
      </c>
      <c r="J330" s="132">
        <f t="shared" si="265"/>
        <v>1.8</v>
      </c>
      <c r="K330" s="133">
        <f>'LABOR SHEET'!C$3</f>
        <v>128</v>
      </c>
      <c r="L330" s="134">
        <f t="shared" si="266"/>
        <v>25.6</v>
      </c>
      <c r="M330" s="134">
        <f t="shared" si="267"/>
        <v>230.4</v>
      </c>
      <c r="N330" s="134">
        <v>13.35</v>
      </c>
      <c r="O330" s="134">
        <f t="shared" si="268"/>
        <v>120.15</v>
      </c>
      <c r="P330" s="134">
        <f t="shared" si="269"/>
        <v>38.950000000000003</v>
      </c>
      <c r="Q330" s="164">
        <f t="shared" si="270"/>
        <v>350.55</v>
      </c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</row>
    <row r="331" spans="1:36" s="30" customFormat="1">
      <c r="A331" s="83" t="str">
        <f>IF(F331&lt;&gt;"",1+MAX($A$2:A330),"")</f>
        <v/>
      </c>
      <c r="B331" s="84"/>
      <c r="C331" s="85"/>
      <c r="D331" s="58"/>
      <c r="E331" s="61"/>
      <c r="F331" s="86"/>
      <c r="G331" s="87"/>
      <c r="H331" s="59"/>
      <c r="I331" s="131"/>
      <c r="J331" s="132"/>
      <c r="K331" s="133"/>
      <c r="L331" s="134"/>
      <c r="M331" s="134"/>
      <c r="N331" s="134"/>
      <c r="O331" s="134"/>
      <c r="P331" s="134"/>
      <c r="Q331" s="165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</row>
    <row r="332" spans="1:36" s="30" customFormat="1">
      <c r="A332" s="83" t="str">
        <f>IF(F332&lt;&gt;"",1+MAX($A$2:A331),"")</f>
        <v/>
      </c>
      <c r="B332" s="84"/>
      <c r="C332" s="85"/>
      <c r="D332" s="49" t="s">
        <v>325</v>
      </c>
      <c r="E332" s="61"/>
      <c r="F332" s="86"/>
      <c r="G332" s="87"/>
      <c r="H332" s="59"/>
      <c r="I332" s="131"/>
      <c r="J332" s="132"/>
      <c r="K332" s="133"/>
      <c r="L332" s="134"/>
      <c r="M332" s="134"/>
      <c r="N332" s="134"/>
      <c r="O332" s="134"/>
      <c r="P332" s="134"/>
      <c r="Q332" s="165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</row>
    <row r="333" spans="1:36" s="30" customFormat="1">
      <c r="A333" s="83" t="str">
        <f>IF(F333&lt;&gt;"",1+MAX($A$2:A332),"")</f>
        <v/>
      </c>
      <c r="B333" s="84"/>
      <c r="C333" s="85"/>
      <c r="D333" s="79" t="s">
        <v>283</v>
      </c>
      <c r="E333" s="61"/>
      <c r="F333" s="86"/>
      <c r="G333" s="87"/>
      <c r="H333" s="59"/>
      <c r="I333" s="131"/>
      <c r="J333" s="132"/>
      <c r="K333" s="133"/>
      <c r="L333" s="134"/>
      <c r="M333" s="134"/>
      <c r="N333" s="134"/>
      <c r="O333" s="134"/>
      <c r="P333" s="134"/>
      <c r="Q333" s="165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</row>
    <row r="334" spans="1:36" s="30" customFormat="1">
      <c r="A334" s="83">
        <f>IF(F334&lt;&gt;"",1+MAX($A$2:A333),"")</f>
        <v>268</v>
      </c>
      <c r="B334" s="84"/>
      <c r="C334" s="85"/>
      <c r="D334" s="58" t="s">
        <v>55</v>
      </c>
      <c r="E334" s="61">
        <v>880.32</v>
      </c>
      <c r="F334" s="60">
        <v>0.05</v>
      </c>
      <c r="G334" s="55">
        <f t="shared" ref="G334:G342" si="301">(F334*E334)+E334</f>
        <v>924.33600000000001</v>
      </c>
      <c r="H334" s="59" t="s">
        <v>54</v>
      </c>
      <c r="I334" s="131">
        <v>0.115</v>
      </c>
      <c r="J334" s="132">
        <f>+I334*G334</f>
        <v>106.29864000000001</v>
      </c>
      <c r="K334" s="133">
        <f>'LABOR SHEET'!C$3</f>
        <v>128</v>
      </c>
      <c r="L334" s="134">
        <f>I334*K334</f>
        <v>14.72</v>
      </c>
      <c r="M334" s="134">
        <f>K334*J334</f>
        <v>13606.225920000001</v>
      </c>
      <c r="N334" s="134">
        <v>9.27</v>
      </c>
      <c r="O334" s="134">
        <f>N334*G334</f>
        <v>8568.5947199999991</v>
      </c>
      <c r="P334" s="134">
        <f>(I334*K334)+N334</f>
        <v>23.99</v>
      </c>
      <c r="Q334" s="164">
        <f>P334*G334</f>
        <v>22174.820640000002</v>
      </c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</row>
    <row r="335" spans="1:36" s="30" customFormat="1">
      <c r="A335" s="83">
        <f>IF(F335&lt;&gt;"",1+MAX($A$2:A334),"")</f>
        <v>269</v>
      </c>
      <c r="B335" s="84"/>
      <c r="C335" s="85"/>
      <c r="D335" s="58" t="s">
        <v>53</v>
      </c>
      <c r="E335" s="61">
        <v>126</v>
      </c>
      <c r="F335" s="60">
        <v>0.05</v>
      </c>
      <c r="G335" s="55">
        <f t="shared" si="301"/>
        <v>132.30000000000001</v>
      </c>
      <c r="H335" s="59" t="s">
        <v>54</v>
      </c>
      <c r="I335" s="131">
        <v>0.14599999999999999</v>
      </c>
      <c r="J335" s="132">
        <f t="shared" ref="J335" si="302">+I335*G335</f>
        <v>19.315799999999999</v>
      </c>
      <c r="K335" s="133">
        <f>'LABOR SHEET'!C$3</f>
        <v>128</v>
      </c>
      <c r="L335" s="134">
        <f t="shared" ref="L335" si="303">I335*K335</f>
        <v>18.687999999999999</v>
      </c>
      <c r="M335" s="134">
        <f t="shared" ref="M335" si="304">K335*J335</f>
        <v>2472.4223999999999</v>
      </c>
      <c r="N335" s="134">
        <f>138.78/10+1</f>
        <v>14.878</v>
      </c>
      <c r="O335" s="134">
        <f t="shared" ref="O335" si="305">N335*G335</f>
        <v>1968.3594000000001</v>
      </c>
      <c r="P335" s="134">
        <f t="shared" ref="P335" si="306">(I335*K335)+N335</f>
        <v>33.566000000000003</v>
      </c>
      <c r="Q335" s="164">
        <f t="shared" ref="Q335" si="307">P335*G335</f>
        <v>4440.7817999999997</v>
      </c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</row>
    <row r="336" spans="1:36" s="30" customFormat="1">
      <c r="A336" s="83" t="str">
        <f>IF(F336&lt;&gt;"",1+MAX($A$2:A335),"")</f>
        <v/>
      </c>
      <c r="B336" s="84"/>
      <c r="C336" s="85"/>
      <c r="D336" s="58"/>
      <c r="E336" s="61"/>
      <c r="F336" s="86"/>
      <c r="G336" s="87"/>
      <c r="H336" s="59"/>
      <c r="I336" s="131"/>
      <c r="J336" s="132"/>
      <c r="K336" s="133"/>
      <c r="L336" s="134"/>
      <c r="M336" s="134"/>
      <c r="N336" s="134"/>
      <c r="O336" s="134"/>
      <c r="P336" s="134"/>
      <c r="Q336" s="165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</row>
    <row r="337" spans="1:36" s="30" customFormat="1">
      <c r="A337" s="83" t="str">
        <f>IF(F337&lt;&gt;"",1+MAX($A$2:A336),"")</f>
        <v/>
      </c>
      <c r="B337" s="84"/>
      <c r="C337" s="85"/>
      <c r="D337" s="79" t="s">
        <v>284</v>
      </c>
      <c r="E337" s="61"/>
      <c r="F337" s="86"/>
      <c r="G337" s="87"/>
      <c r="H337" s="59"/>
      <c r="I337" s="131"/>
      <c r="J337" s="132"/>
      <c r="K337" s="133"/>
      <c r="L337" s="134"/>
      <c r="M337" s="134"/>
      <c r="N337" s="134"/>
      <c r="O337" s="134"/>
      <c r="P337" s="134"/>
      <c r="Q337" s="165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</row>
    <row r="338" spans="1:36" s="30" customFormat="1">
      <c r="A338" s="83">
        <f>IF(F338&lt;&gt;"",1+MAX($A$2:A337),"")</f>
        <v>270</v>
      </c>
      <c r="B338" s="84"/>
      <c r="C338" s="85"/>
      <c r="D338" s="58" t="s">
        <v>326</v>
      </c>
      <c r="E338" s="61">
        <v>224.31</v>
      </c>
      <c r="F338" s="60">
        <v>0.05</v>
      </c>
      <c r="G338" s="55">
        <f t="shared" si="301"/>
        <v>235.52549999999999</v>
      </c>
      <c r="H338" s="59" t="s">
        <v>54</v>
      </c>
      <c r="I338" s="131">
        <v>0.02</v>
      </c>
      <c r="J338" s="132">
        <f t="shared" ref="J338:J342" si="308">+I338*G338</f>
        <v>4.7105100000000002</v>
      </c>
      <c r="K338" s="133">
        <f>'LABOR SHEET'!C$3</f>
        <v>128</v>
      </c>
      <c r="L338" s="134">
        <f t="shared" ref="L338:L342" si="309">I338*K338</f>
        <v>2.56</v>
      </c>
      <c r="M338" s="134">
        <f t="shared" ref="M338:M342" si="310">K338*J338</f>
        <v>602.94528000000003</v>
      </c>
      <c r="N338" s="134">
        <v>2.63</v>
      </c>
      <c r="O338" s="134">
        <f t="shared" ref="O338:O342" si="311">N338*G338</f>
        <v>619.43206499999997</v>
      </c>
      <c r="P338" s="134">
        <f t="shared" ref="P338:P342" si="312">(I338*K338)+N338</f>
        <v>5.19</v>
      </c>
      <c r="Q338" s="164">
        <f t="shared" ref="Q338:Q342" si="313">P338*G338</f>
        <v>1222.3773450000001</v>
      </c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</row>
    <row r="339" spans="1:36" s="30" customFormat="1">
      <c r="A339" s="83">
        <f>IF(F339&lt;&gt;"",1+MAX($A$2:A338),"")</f>
        <v>271</v>
      </c>
      <c r="B339" s="84"/>
      <c r="C339" s="85"/>
      <c r="D339" s="58" t="s">
        <v>327</v>
      </c>
      <c r="E339" s="61">
        <v>6.37</v>
      </c>
      <c r="F339" s="60">
        <v>0.05</v>
      </c>
      <c r="G339" s="55">
        <f t="shared" si="301"/>
        <v>6.6885000000000003</v>
      </c>
      <c r="H339" s="59" t="s">
        <v>54</v>
      </c>
      <c r="I339" s="131">
        <v>2.5000000000000001E-2</v>
      </c>
      <c r="J339" s="132">
        <f t="shared" si="308"/>
        <v>0.16721249999999999</v>
      </c>
      <c r="K339" s="133">
        <f>'LABOR SHEET'!C$3</f>
        <v>128</v>
      </c>
      <c r="L339" s="134">
        <f t="shared" si="309"/>
        <v>3.2</v>
      </c>
      <c r="M339" s="134">
        <f t="shared" si="310"/>
        <v>21.403199999999998</v>
      </c>
      <c r="N339" s="134">
        <v>2.78</v>
      </c>
      <c r="O339" s="134">
        <f t="shared" si="311"/>
        <v>18.59403</v>
      </c>
      <c r="P339" s="134">
        <f t="shared" si="312"/>
        <v>5.98</v>
      </c>
      <c r="Q339" s="164">
        <f t="shared" si="313"/>
        <v>39.997230000000002</v>
      </c>
      <c r="R339" s="167"/>
      <c r="S339" s="167"/>
      <c r="T339" s="167"/>
      <c r="U339" s="167"/>
      <c r="V339" s="167"/>
      <c r="W339" s="167"/>
      <c r="X339" s="167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  <c r="AI339" s="167"/>
      <c r="AJ339" s="167"/>
    </row>
    <row r="340" spans="1:36" s="30" customFormat="1">
      <c r="A340" s="83">
        <f>IF(F340&lt;&gt;"",1+MAX($A$2:A339),"")</f>
        <v>272</v>
      </c>
      <c r="B340" s="84"/>
      <c r="C340" s="85"/>
      <c r="D340" s="58" t="s">
        <v>328</v>
      </c>
      <c r="E340" s="61">
        <v>92.48</v>
      </c>
      <c r="F340" s="60">
        <v>0.05</v>
      </c>
      <c r="G340" s="55">
        <f t="shared" si="301"/>
        <v>97.103999999999999</v>
      </c>
      <c r="H340" s="59" t="s">
        <v>54</v>
      </c>
      <c r="I340" s="131">
        <v>3.5000000000000003E-2</v>
      </c>
      <c r="J340" s="132">
        <f t="shared" si="308"/>
        <v>3.3986399999999999</v>
      </c>
      <c r="K340" s="133">
        <f>'LABOR SHEET'!C$3</f>
        <v>128</v>
      </c>
      <c r="L340" s="134">
        <f t="shared" si="309"/>
        <v>4.4800000000000004</v>
      </c>
      <c r="M340" s="134">
        <f t="shared" si="310"/>
        <v>435.02591999999999</v>
      </c>
      <c r="N340" s="134">
        <v>8.99</v>
      </c>
      <c r="O340" s="134">
        <f t="shared" si="311"/>
        <v>872.96496000000002</v>
      </c>
      <c r="P340" s="134">
        <f t="shared" si="312"/>
        <v>13.47</v>
      </c>
      <c r="Q340" s="164">
        <f t="shared" si="313"/>
        <v>1307.9908800000001</v>
      </c>
      <c r="R340" s="167"/>
      <c r="S340" s="167"/>
      <c r="T340" s="167"/>
      <c r="U340" s="167"/>
      <c r="V340" s="167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167"/>
      <c r="AG340" s="167"/>
      <c r="AH340" s="167"/>
      <c r="AI340" s="167"/>
      <c r="AJ340" s="167"/>
    </row>
    <row r="341" spans="1:36" s="30" customFormat="1">
      <c r="A341" s="83">
        <f>IF(F341&lt;&gt;"",1+MAX($A$2:A340),"")</f>
        <v>273</v>
      </c>
      <c r="B341" s="84"/>
      <c r="C341" s="85"/>
      <c r="D341" s="58" t="s">
        <v>329</v>
      </c>
      <c r="E341" s="61">
        <v>3820.16</v>
      </c>
      <c r="F341" s="60">
        <v>0.05</v>
      </c>
      <c r="G341" s="55">
        <f t="shared" si="301"/>
        <v>4011.1680000000001</v>
      </c>
      <c r="H341" s="59" t="s">
        <v>54</v>
      </c>
      <c r="I341" s="131">
        <v>0.03</v>
      </c>
      <c r="J341" s="132">
        <f t="shared" si="308"/>
        <v>120.33504000000001</v>
      </c>
      <c r="K341" s="133">
        <f>'LABOR SHEET'!C$3</f>
        <v>128</v>
      </c>
      <c r="L341" s="134">
        <f t="shared" si="309"/>
        <v>3.84</v>
      </c>
      <c r="M341" s="134">
        <f t="shared" si="310"/>
        <v>15402.885120000001</v>
      </c>
      <c r="N341" s="134">
        <v>6.73</v>
      </c>
      <c r="O341" s="134">
        <f t="shared" si="311"/>
        <v>26995.160639999998</v>
      </c>
      <c r="P341" s="134">
        <f t="shared" si="312"/>
        <v>10.57</v>
      </c>
      <c r="Q341" s="164">
        <f t="shared" si="313"/>
        <v>42398.045760000001</v>
      </c>
      <c r="R341" s="167"/>
      <c r="S341" s="167"/>
      <c r="T341" s="167"/>
      <c r="U341" s="167"/>
      <c r="V341" s="167"/>
      <c r="W341" s="167"/>
      <c r="X341" s="167"/>
      <c r="Y341" s="167"/>
      <c r="Z341" s="167"/>
      <c r="AA341" s="167"/>
      <c r="AB341" s="167"/>
      <c r="AC341" s="167"/>
      <c r="AD341" s="167"/>
      <c r="AE341" s="167"/>
      <c r="AF341" s="167"/>
      <c r="AG341" s="167"/>
      <c r="AH341" s="167"/>
      <c r="AI341" s="167"/>
      <c r="AJ341" s="167"/>
    </row>
    <row r="342" spans="1:36" s="30" customFormat="1">
      <c r="A342" s="83">
        <f>IF(F342&lt;&gt;"",1+MAX($A$2:A341),"")</f>
        <v>274</v>
      </c>
      <c r="B342" s="84"/>
      <c r="C342" s="85"/>
      <c r="D342" s="58" t="s">
        <v>330</v>
      </c>
      <c r="E342" s="61">
        <v>103.24</v>
      </c>
      <c r="F342" s="60">
        <v>0.05</v>
      </c>
      <c r="G342" s="55">
        <f t="shared" si="301"/>
        <v>108.402</v>
      </c>
      <c r="H342" s="59" t="s">
        <v>54</v>
      </c>
      <c r="I342" s="131">
        <v>0.02</v>
      </c>
      <c r="J342" s="132">
        <f t="shared" si="308"/>
        <v>2.16804</v>
      </c>
      <c r="K342" s="133">
        <f>'LABOR SHEET'!C$3</f>
        <v>128</v>
      </c>
      <c r="L342" s="134">
        <f t="shared" si="309"/>
        <v>2.56</v>
      </c>
      <c r="M342" s="134">
        <f t="shared" si="310"/>
        <v>277.50912</v>
      </c>
      <c r="N342" s="134">
        <v>3</v>
      </c>
      <c r="O342" s="134">
        <f t="shared" si="311"/>
        <v>325.20600000000002</v>
      </c>
      <c r="P342" s="134">
        <f t="shared" si="312"/>
        <v>5.56</v>
      </c>
      <c r="Q342" s="164">
        <f t="shared" si="313"/>
        <v>602.71511999999996</v>
      </c>
      <c r="R342" s="167"/>
      <c r="S342" s="167"/>
      <c r="T342" s="167"/>
      <c r="U342" s="167"/>
      <c r="V342" s="167"/>
      <c r="W342" s="167"/>
      <c r="X342" s="167"/>
      <c r="Y342" s="167"/>
      <c r="Z342" s="167"/>
      <c r="AA342" s="167"/>
      <c r="AB342" s="167"/>
      <c r="AC342" s="167"/>
      <c r="AD342" s="167"/>
      <c r="AE342" s="167"/>
      <c r="AF342" s="167"/>
      <c r="AG342" s="167"/>
      <c r="AH342" s="167"/>
      <c r="AI342" s="167"/>
      <c r="AJ342" s="167"/>
    </row>
    <row r="343" spans="1:36" s="30" customFormat="1">
      <c r="A343" s="83" t="str">
        <f>IF(F343&lt;&gt;"",1+MAX($A$2:A342),"")</f>
        <v/>
      </c>
      <c r="B343" s="84"/>
      <c r="C343" s="85"/>
      <c r="D343" s="58"/>
      <c r="E343" s="61"/>
      <c r="F343" s="86"/>
      <c r="G343" s="87"/>
      <c r="H343" s="59"/>
      <c r="I343" s="131"/>
      <c r="J343" s="132"/>
      <c r="K343" s="133"/>
      <c r="L343" s="134"/>
      <c r="M343" s="134"/>
      <c r="N343" s="134"/>
      <c r="O343" s="134"/>
      <c r="P343" s="134"/>
      <c r="Q343" s="165"/>
      <c r="R343" s="167"/>
      <c r="S343" s="167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  <c r="AI343" s="167"/>
      <c r="AJ343" s="167"/>
    </row>
    <row r="344" spans="1:36" s="30" customFormat="1">
      <c r="A344" s="83" t="str">
        <f>IF(F344&lt;&gt;"",1+MAX($A$2:A343),"")</f>
        <v/>
      </c>
      <c r="B344" s="84"/>
      <c r="C344" s="85"/>
      <c r="D344" s="79" t="s">
        <v>289</v>
      </c>
      <c r="E344" s="61"/>
      <c r="F344" s="86"/>
      <c r="G344" s="87"/>
      <c r="H344" s="59"/>
      <c r="I344" s="131"/>
      <c r="J344" s="132"/>
      <c r="K344" s="133"/>
      <c r="L344" s="134"/>
      <c r="M344" s="134"/>
      <c r="N344" s="134"/>
      <c r="O344" s="134"/>
      <c r="P344" s="134"/>
      <c r="Q344" s="165"/>
      <c r="R344" s="167"/>
      <c r="S344" s="167"/>
      <c r="T344" s="167"/>
      <c r="U344" s="167"/>
      <c r="V344" s="167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  <c r="AI344" s="167"/>
      <c r="AJ344" s="167"/>
    </row>
    <row r="345" spans="1:36" s="30" customFormat="1">
      <c r="A345" s="83">
        <f>IF(F345&lt;&gt;"",1+MAX($A$2:A344),"")</f>
        <v>275</v>
      </c>
      <c r="B345" s="84"/>
      <c r="C345" s="85"/>
      <c r="D345" s="58" t="s">
        <v>331</v>
      </c>
      <c r="E345" s="61">
        <v>4</v>
      </c>
      <c r="F345" s="60">
        <v>0</v>
      </c>
      <c r="G345" s="55">
        <f t="shared" ref="G345:G374" si="314">(F345*E345)+E345</f>
        <v>4</v>
      </c>
      <c r="H345" s="59" t="s">
        <v>71</v>
      </c>
      <c r="I345" s="131">
        <v>0.02</v>
      </c>
      <c r="J345" s="132">
        <f t="shared" ref="J345:J374" si="315">+I345*G345</f>
        <v>0.08</v>
      </c>
      <c r="K345" s="133">
        <f>'LABOR SHEET'!C$3</f>
        <v>128</v>
      </c>
      <c r="L345" s="134">
        <f t="shared" ref="L345:L374" si="316">I345*K345</f>
        <v>2.56</v>
      </c>
      <c r="M345" s="134">
        <f t="shared" ref="M345:M374" si="317">K345*J345</f>
        <v>10.24</v>
      </c>
      <c r="N345" s="134">
        <v>2.38</v>
      </c>
      <c r="O345" s="134">
        <f t="shared" ref="O345:O374" si="318">N345*G345</f>
        <v>9.52</v>
      </c>
      <c r="P345" s="134">
        <f t="shared" ref="P345:P374" si="319">(I345*K345)+N345</f>
        <v>4.9400000000000004</v>
      </c>
      <c r="Q345" s="164">
        <f t="shared" ref="Q345:Q374" si="320">P345*G345</f>
        <v>19.760000000000002</v>
      </c>
      <c r="R345" s="167"/>
      <c r="S345" s="167"/>
      <c r="T345" s="167"/>
      <c r="U345" s="167"/>
      <c r="V345" s="167"/>
      <c r="W345" s="167"/>
      <c r="X345" s="167"/>
      <c r="Y345" s="167"/>
      <c r="Z345" s="167"/>
      <c r="AA345" s="167"/>
      <c r="AB345" s="167"/>
      <c r="AC345" s="167"/>
      <c r="AD345" s="167"/>
      <c r="AE345" s="167"/>
      <c r="AF345" s="167"/>
      <c r="AG345" s="167"/>
      <c r="AH345" s="167"/>
      <c r="AI345" s="167"/>
      <c r="AJ345" s="167"/>
    </row>
    <row r="346" spans="1:36" s="30" customFormat="1">
      <c r="A346" s="83">
        <f>IF(F346&lt;&gt;"",1+MAX($A$2:A345),"")</f>
        <v>276</v>
      </c>
      <c r="B346" s="84"/>
      <c r="C346" s="85"/>
      <c r="D346" s="58" t="s">
        <v>332</v>
      </c>
      <c r="E346" s="61">
        <v>8</v>
      </c>
      <c r="F346" s="60">
        <v>0</v>
      </c>
      <c r="G346" s="55">
        <f t="shared" si="314"/>
        <v>8</v>
      </c>
      <c r="H346" s="59" t="s">
        <v>71</v>
      </c>
      <c r="I346" s="131">
        <v>0.02</v>
      </c>
      <c r="J346" s="132">
        <f t="shared" si="315"/>
        <v>0.16</v>
      </c>
      <c r="K346" s="133">
        <f>'LABOR SHEET'!C$3</f>
        <v>128</v>
      </c>
      <c r="L346" s="134">
        <f t="shared" si="316"/>
        <v>2.56</v>
      </c>
      <c r="M346" s="134">
        <f t="shared" si="317"/>
        <v>20.48</v>
      </c>
      <c r="N346" s="134">
        <v>2.38</v>
      </c>
      <c r="O346" s="134">
        <f t="shared" si="318"/>
        <v>19.04</v>
      </c>
      <c r="P346" s="134">
        <f t="shared" si="319"/>
        <v>4.9400000000000004</v>
      </c>
      <c r="Q346" s="164">
        <f t="shared" si="320"/>
        <v>39.520000000000003</v>
      </c>
      <c r="R346" s="167"/>
      <c r="S346" s="167"/>
      <c r="T346" s="167"/>
      <c r="U346" s="167"/>
      <c r="V346" s="167"/>
      <c r="W346" s="167"/>
      <c r="X346" s="167"/>
      <c r="Y346" s="167"/>
      <c r="Z346" s="167"/>
      <c r="AA346" s="167"/>
      <c r="AB346" s="167"/>
      <c r="AC346" s="167"/>
      <c r="AD346" s="167"/>
      <c r="AE346" s="167"/>
      <c r="AF346" s="167"/>
      <c r="AG346" s="167"/>
      <c r="AH346" s="167"/>
      <c r="AI346" s="167"/>
      <c r="AJ346" s="167"/>
    </row>
    <row r="347" spans="1:36" s="30" customFormat="1">
      <c r="A347" s="83">
        <f>IF(F347&lt;&gt;"",1+MAX($A$2:A346),"")</f>
        <v>277</v>
      </c>
      <c r="B347" s="84"/>
      <c r="C347" s="85"/>
      <c r="D347" s="58" t="s">
        <v>333</v>
      </c>
      <c r="E347" s="61">
        <v>1</v>
      </c>
      <c r="F347" s="60">
        <v>0</v>
      </c>
      <c r="G347" s="55">
        <f t="shared" si="314"/>
        <v>1</v>
      </c>
      <c r="H347" s="59" t="s">
        <v>71</v>
      </c>
      <c r="I347" s="131">
        <v>0.03</v>
      </c>
      <c r="J347" s="132">
        <f t="shared" si="315"/>
        <v>0.03</v>
      </c>
      <c r="K347" s="133">
        <f>'LABOR SHEET'!C$3</f>
        <v>128</v>
      </c>
      <c r="L347" s="134">
        <f t="shared" si="316"/>
        <v>3.84</v>
      </c>
      <c r="M347" s="134">
        <f t="shared" si="317"/>
        <v>3.84</v>
      </c>
      <c r="N347" s="134">
        <v>10.32</v>
      </c>
      <c r="O347" s="134">
        <f t="shared" si="318"/>
        <v>10.32</v>
      </c>
      <c r="P347" s="134">
        <f t="shared" si="319"/>
        <v>14.16</v>
      </c>
      <c r="Q347" s="164">
        <f t="shared" si="320"/>
        <v>14.16</v>
      </c>
      <c r="R347" s="167"/>
      <c r="S347" s="167"/>
      <c r="T347" s="167"/>
      <c r="U347" s="167"/>
      <c r="V347" s="167"/>
      <c r="W347" s="167"/>
      <c r="X347" s="167"/>
      <c r="Y347" s="167"/>
      <c r="Z347" s="167"/>
      <c r="AA347" s="167"/>
      <c r="AB347" s="167"/>
      <c r="AC347" s="167"/>
      <c r="AD347" s="167"/>
      <c r="AE347" s="167"/>
      <c r="AF347" s="167"/>
      <c r="AG347" s="167"/>
      <c r="AH347" s="167"/>
      <c r="AI347" s="167"/>
      <c r="AJ347" s="167"/>
    </row>
    <row r="348" spans="1:36" s="30" customFormat="1">
      <c r="A348" s="83">
        <f>IF(F348&lt;&gt;"",1+MAX($A$2:A347),"")</f>
        <v>278</v>
      </c>
      <c r="B348" s="84"/>
      <c r="C348" s="85"/>
      <c r="D348" s="58" t="s">
        <v>334</v>
      </c>
      <c r="E348" s="61">
        <v>1</v>
      </c>
      <c r="F348" s="60">
        <v>0</v>
      </c>
      <c r="G348" s="55">
        <f t="shared" si="314"/>
        <v>1</v>
      </c>
      <c r="H348" s="59" t="s">
        <v>71</v>
      </c>
      <c r="I348" s="131">
        <v>0.5</v>
      </c>
      <c r="J348" s="132">
        <f t="shared" si="315"/>
        <v>0.5</v>
      </c>
      <c r="K348" s="133">
        <f>'LABOR SHEET'!C$3</f>
        <v>128</v>
      </c>
      <c r="L348" s="134">
        <f t="shared" si="316"/>
        <v>64</v>
      </c>
      <c r="M348" s="134">
        <f t="shared" si="317"/>
        <v>64</v>
      </c>
      <c r="N348" s="134">
        <v>69.900000000000006</v>
      </c>
      <c r="O348" s="134">
        <f t="shared" si="318"/>
        <v>69.900000000000006</v>
      </c>
      <c r="P348" s="134">
        <f t="shared" si="319"/>
        <v>133.9</v>
      </c>
      <c r="Q348" s="164">
        <f t="shared" si="320"/>
        <v>133.9</v>
      </c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</row>
    <row r="349" spans="1:36" s="30" customFormat="1" ht="31.2">
      <c r="A349" s="83">
        <f>IF(F349&lt;&gt;"",1+MAX($A$2:A348),"")</f>
        <v>279</v>
      </c>
      <c r="B349" s="84"/>
      <c r="C349" s="85"/>
      <c r="D349" s="58" t="s">
        <v>335</v>
      </c>
      <c r="E349" s="61">
        <v>1</v>
      </c>
      <c r="F349" s="60">
        <v>0</v>
      </c>
      <c r="G349" s="55">
        <f t="shared" si="314"/>
        <v>1</v>
      </c>
      <c r="H349" s="59" t="s">
        <v>71</v>
      </c>
      <c r="I349" s="131">
        <v>0.6</v>
      </c>
      <c r="J349" s="132">
        <f t="shared" si="315"/>
        <v>0.6</v>
      </c>
      <c r="K349" s="133">
        <f>'LABOR SHEET'!C$3</f>
        <v>128</v>
      </c>
      <c r="L349" s="134">
        <f t="shared" si="316"/>
        <v>76.8</v>
      </c>
      <c r="M349" s="134">
        <f t="shared" si="317"/>
        <v>76.8</v>
      </c>
      <c r="N349" s="134">
        <v>132.94999999999999</v>
      </c>
      <c r="O349" s="134">
        <f t="shared" si="318"/>
        <v>132.94999999999999</v>
      </c>
      <c r="P349" s="134">
        <f t="shared" si="319"/>
        <v>209.75</v>
      </c>
      <c r="Q349" s="164">
        <f t="shared" si="320"/>
        <v>209.75</v>
      </c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</row>
    <row r="350" spans="1:36" s="30" customFormat="1" ht="31.2">
      <c r="A350" s="83">
        <f>IF(F350&lt;&gt;"",1+MAX($A$2:A349),"")</f>
        <v>280</v>
      </c>
      <c r="B350" s="84"/>
      <c r="C350" s="85"/>
      <c r="D350" s="58" t="s">
        <v>336</v>
      </c>
      <c r="E350" s="61">
        <v>5</v>
      </c>
      <c r="F350" s="60">
        <v>0</v>
      </c>
      <c r="G350" s="55">
        <f t="shared" si="314"/>
        <v>5</v>
      </c>
      <c r="H350" s="59" t="s">
        <v>71</v>
      </c>
      <c r="I350" s="131">
        <v>0.55000000000000004</v>
      </c>
      <c r="J350" s="132">
        <f t="shared" si="315"/>
        <v>2.75</v>
      </c>
      <c r="K350" s="133">
        <f>'LABOR SHEET'!C$3</f>
        <v>128</v>
      </c>
      <c r="L350" s="134">
        <f t="shared" si="316"/>
        <v>70.400000000000006</v>
      </c>
      <c r="M350" s="134">
        <f t="shared" si="317"/>
        <v>352</v>
      </c>
      <c r="N350" s="134">
        <v>69.95</v>
      </c>
      <c r="O350" s="134">
        <f t="shared" si="318"/>
        <v>349.75</v>
      </c>
      <c r="P350" s="134">
        <f t="shared" si="319"/>
        <v>140.35</v>
      </c>
      <c r="Q350" s="164">
        <f t="shared" si="320"/>
        <v>701.75</v>
      </c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</row>
    <row r="351" spans="1:36" s="30" customFormat="1" ht="31.2">
      <c r="A351" s="83">
        <f>IF(F351&lt;&gt;"",1+MAX($A$2:A350),"")</f>
        <v>281</v>
      </c>
      <c r="B351" s="84"/>
      <c r="C351" s="85"/>
      <c r="D351" s="58" t="s">
        <v>337</v>
      </c>
      <c r="E351" s="61">
        <v>1</v>
      </c>
      <c r="F351" s="60">
        <v>0</v>
      </c>
      <c r="G351" s="55">
        <f t="shared" si="314"/>
        <v>1</v>
      </c>
      <c r="H351" s="59" t="s">
        <v>71</v>
      </c>
      <c r="I351" s="131">
        <v>1.5</v>
      </c>
      <c r="J351" s="132">
        <f t="shared" si="315"/>
        <v>1.5</v>
      </c>
      <c r="K351" s="133">
        <f>'LABOR SHEET'!C$3</f>
        <v>128</v>
      </c>
      <c r="L351" s="134">
        <f t="shared" si="316"/>
        <v>192</v>
      </c>
      <c r="M351" s="134">
        <f t="shared" si="317"/>
        <v>192</v>
      </c>
      <c r="N351" s="134">
        <v>335.99</v>
      </c>
      <c r="O351" s="134">
        <f t="shared" si="318"/>
        <v>335.99</v>
      </c>
      <c r="P351" s="134">
        <f t="shared" si="319"/>
        <v>527.99</v>
      </c>
      <c r="Q351" s="164">
        <f t="shared" si="320"/>
        <v>527.99</v>
      </c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</row>
    <row r="352" spans="1:36" s="30" customFormat="1" ht="31.2">
      <c r="A352" s="83">
        <f>IF(F352&lt;&gt;"",1+MAX($A$2:A351),"")</f>
        <v>282</v>
      </c>
      <c r="B352" s="84"/>
      <c r="C352" s="85"/>
      <c r="D352" s="58" t="s">
        <v>338</v>
      </c>
      <c r="E352" s="61">
        <v>1</v>
      </c>
      <c r="F352" s="60">
        <v>0</v>
      </c>
      <c r="G352" s="55">
        <f t="shared" si="314"/>
        <v>1</v>
      </c>
      <c r="H352" s="59" t="s">
        <v>71</v>
      </c>
      <c r="I352" s="131">
        <v>2</v>
      </c>
      <c r="J352" s="132">
        <f t="shared" si="315"/>
        <v>2</v>
      </c>
      <c r="K352" s="133">
        <f>'LABOR SHEET'!C$3</f>
        <v>128</v>
      </c>
      <c r="L352" s="134">
        <f t="shared" si="316"/>
        <v>256</v>
      </c>
      <c r="M352" s="134">
        <f t="shared" si="317"/>
        <v>256</v>
      </c>
      <c r="N352" s="134">
        <v>679.99</v>
      </c>
      <c r="O352" s="134">
        <f t="shared" si="318"/>
        <v>679.99</v>
      </c>
      <c r="P352" s="134">
        <f t="shared" si="319"/>
        <v>935.99</v>
      </c>
      <c r="Q352" s="164">
        <f t="shared" si="320"/>
        <v>935.99</v>
      </c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</row>
    <row r="353" spans="1:36" s="30" customFormat="1" ht="31.2">
      <c r="A353" s="83">
        <f>IF(F353&lt;&gt;"",1+MAX($A$2:A352),"")</f>
        <v>283</v>
      </c>
      <c r="B353" s="84"/>
      <c r="C353" s="85"/>
      <c r="D353" s="58" t="s">
        <v>339</v>
      </c>
      <c r="E353" s="61">
        <v>1</v>
      </c>
      <c r="F353" s="60">
        <v>0</v>
      </c>
      <c r="G353" s="55">
        <f t="shared" si="314"/>
        <v>1</v>
      </c>
      <c r="H353" s="59" t="s">
        <v>71</v>
      </c>
      <c r="I353" s="131">
        <v>1.6</v>
      </c>
      <c r="J353" s="132">
        <f t="shared" si="315"/>
        <v>1.6</v>
      </c>
      <c r="K353" s="133">
        <f>'LABOR SHEET'!C$3</f>
        <v>128</v>
      </c>
      <c r="L353" s="134">
        <f t="shared" si="316"/>
        <v>204.8</v>
      </c>
      <c r="M353" s="134">
        <f t="shared" si="317"/>
        <v>204.8</v>
      </c>
      <c r="N353" s="134">
        <v>385.99</v>
      </c>
      <c r="O353" s="134">
        <f t="shared" si="318"/>
        <v>385.99</v>
      </c>
      <c r="P353" s="134">
        <f t="shared" si="319"/>
        <v>590.79</v>
      </c>
      <c r="Q353" s="164">
        <f t="shared" si="320"/>
        <v>590.79</v>
      </c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</row>
    <row r="354" spans="1:36" s="30" customFormat="1" ht="31.2">
      <c r="A354" s="83">
        <f>IF(F354&lt;&gt;"",1+MAX($A$2:A353),"")</f>
        <v>284</v>
      </c>
      <c r="B354" s="84"/>
      <c r="C354" s="85"/>
      <c r="D354" s="58" t="s">
        <v>340</v>
      </c>
      <c r="E354" s="61">
        <v>1</v>
      </c>
      <c r="F354" s="60">
        <v>0</v>
      </c>
      <c r="G354" s="55">
        <f t="shared" si="314"/>
        <v>1</v>
      </c>
      <c r="H354" s="59" t="s">
        <v>71</v>
      </c>
      <c r="I354" s="131">
        <v>4.5</v>
      </c>
      <c r="J354" s="132">
        <f t="shared" si="315"/>
        <v>4.5</v>
      </c>
      <c r="K354" s="133">
        <f>'LABOR SHEET'!C$3</f>
        <v>128</v>
      </c>
      <c r="L354" s="134">
        <f t="shared" si="316"/>
        <v>576</v>
      </c>
      <c r="M354" s="134">
        <f t="shared" si="317"/>
        <v>576</v>
      </c>
      <c r="N354" s="134">
        <v>3516.64</v>
      </c>
      <c r="O354" s="134">
        <f t="shared" si="318"/>
        <v>3516.64</v>
      </c>
      <c r="P354" s="134">
        <f t="shared" si="319"/>
        <v>4092.64</v>
      </c>
      <c r="Q354" s="164">
        <f t="shared" si="320"/>
        <v>4092.64</v>
      </c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</row>
    <row r="355" spans="1:36" s="30" customFormat="1" ht="31.2">
      <c r="A355" s="83">
        <f>IF(F355&lt;&gt;"",1+MAX($A$2:A354),"")</f>
        <v>285</v>
      </c>
      <c r="B355" s="84"/>
      <c r="C355" s="85"/>
      <c r="D355" s="58" t="s">
        <v>341</v>
      </c>
      <c r="E355" s="61">
        <v>30</v>
      </c>
      <c r="F355" s="60">
        <v>0</v>
      </c>
      <c r="G355" s="55">
        <f t="shared" si="314"/>
        <v>30</v>
      </c>
      <c r="H355" s="59" t="s">
        <v>71</v>
      </c>
      <c r="I355" s="131">
        <v>0.4</v>
      </c>
      <c r="J355" s="132">
        <f t="shared" si="315"/>
        <v>12</v>
      </c>
      <c r="K355" s="133">
        <f>'LABOR SHEET'!C$3</f>
        <v>128</v>
      </c>
      <c r="L355" s="134">
        <f t="shared" si="316"/>
        <v>51.2</v>
      </c>
      <c r="M355" s="134">
        <f t="shared" si="317"/>
        <v>1536</v>
      </c>
      <c r="N355" s="134">
        <v>60.97</v>
      </c>
      <c r="O355" s="134">
        <f t="shared" si="318"/>
        <v>1829.1</v>
      </c>
      <c r="P355" s="134">
        <f t="shared" si="319"/>
        <v>112.17</v>
      </c>
      <c r="Q355" s="164">
        <f t="shared" si="320"/>
        <v>3365.1</v>
      </c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</row>
    <row r="356" spans="1:36" s="30" customFormat="1">
      <c r="A356" s="83">
        <f>IF(F356&lt;&gt;"",1+MAX($A$2:A355),"")</f>
        <v>286</v>
      </c>
      <c r="B356" s="84"/>
      <c r="C356" s="85"/>
      <c r="D356" s="58" t="s">
        <v>342</v>
      </c>
      <c r="E356" s="61">
        <v>2</v>
      </c>
      <c r="F356" s="60">
        <v>0</v>
      </c>
      <c r="G356" s="55">
        <f t="shared" si="314"/>
        <v>2</v>
      </c>
      <c r="H356" s="59" t="s">
        <v>71</v>
      </c>
      <c r="I356" s="131">
        <v>0.35</v>
      </c>
      <c r="J356" s="132">
        <f t="shared" si="315"/>
        <v>0.7</v>
      </c>
      <c r="K356" s="133">
        <f>'LABOR SHEET'!C$3</f>
        <v>128</v>
      </c>
      <c r="L356" s="134">
        <f t="shared" si="316"/>
        <v>44.8</v>
      </c>
      <c r="M356" s="134">
        <f t="shared" si="317"/>
        <v>89.6</v>
      </c>
      <c r="N356" s="134">
        <v>48</v>
      </c>
      <c r="O356" s="134">
        <f t="shared" si="318"/>
        <v>96</v>
      </c>
      <c r="P356" s="134">
        <f t="shared" si="319"/>
        <v>92.8</v>
      </c>
      <c r="Q356" s="164">
        <f t="shared" si="320"/>
        <v>185.6</v>
      </c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</row>
    <row r="357" spans="1:36" s="30" customFormat="1">
      <c r="A357" s="83">
        <f>IF(F357&lt;&gt;"",1+MAX($A$2:A356),"")</f>
        <v>287</v>
      </c>
      <c r="B357" s="84"/>
      <c r="C357" s="85"/>
      <c r="D357" s="58" t="s">
        <v>343</v>
      </c>
      <c r="E357" s="61">
        <v>1</v>
      </c>
      <c r="F357" s="60">
        <v>0</v>
      </c>
      <c r="G357" s="55">
        <f t="shared" si="314"/>
        <v>1</v>
      </c>
      <c r="H357" s="59" t="s">
        <v>71</v>
      </c>
      <c r="I357" s="131">
        <v>4.5</v>
      </c>
      <c r="J357" s="132">
        <f t="shared" si="315"/>
        <v>4.5</v>
      </c>
      <c r="K357" s="133">
        <f>'LABOR SHEET'!C$3</f>
        <v>128</v>
      </c>
      <c r="L357" s="134">
        <f t="shared" si="316"/>
        <v>576</v>
      </c>
      <c r="M357" s="134">
        <f t="shared" si="317"/>
        <v>576</v>
      </c>
      <c r="N357" s="134">
        <v>843.31</v>
      </c>
      <c r="O357" s="134">
        <f t="shared" si="318"/>
        <v>843.31</v>
      </c>
      <c r="P357" s="134">
        <f t="shared" si="319"/>
        <v>1419.31</v>
      </c>
      <c r="Q357" s="164">
        <f t="shared" si="320"/>
        <v>1419.31</v>
      </c>
      <c r="R357" s="167"/>
      <c r="S357" s="167"/>
      <c r="T357" s="167"/>
      <c r="U357" s="167"/>
      <c r="V357" s="167"/>
      <c r="W357" s="167"/>
      <c r="X357" s="167"/>
      <c r="Y357" s="167"/>
      <c r="Z357" s="167"/>
      <c r="AA357" s="167"/>
      <c r="AB357" s="167"/>
      <c r="AC357" s="167"/>
      <c r="AD357" s="167"/>
      <c r="AE357" s="167"/>
      <c r="AF357" s="167"/>
      <c r="AG357" s="167"/>
      <c r="AH357" s="167"/>
      <c r="AI357" s="167"/>
      <c r="AJ357" s="167"/>
    </row>
    <row r="358" spans="1:36" s="30" customFormat="1">
      <c r="A358" s="83">
        <f>IF(F358&lt;&gt;"",1+MAX($A$2:A357),"")</f>
        <v>288</v>
      </c>
      <c r="B358" s="84"/>
      <c r="C358" s="85"/>
      <c r="D358" s="58" t="s">
        <v>344</v>
      </c>
      <c r="E358" s="61">
        <v>30</v>
      </c>
      <c r="F358" s="60">
        <v>0</v>
      </c>
      <c r="G358" s="55">
        <f t="shared" si="314"/>
        <v>30</v>
      </c>
      <c r="H358" s="59" t="s">
        <v>71</v>
      </c>
      <c r="I358" s="131">
        <v>0.1</v>
      </c>
      <c r="J358" s="132">
        <f t="shared" si="315"/>
        <v>3</v>
      </c>
      <c r="K358" s="133">
        <f>'LABOR SHEET'!C$3</f>
        <v>128</v>
      </c>
      <c r="L358" s="134">
        <f t="shared" si="316"/>
        <v>12.8</v>
      </c>
      <c r="M358" s="134">
        <f t="shared" si="317"/>
        <v>384</v>
      </c>
      <c r="N358" s="134">
        <v>10.09</v>
      </c>
      <c r="O358" s="134">
        <f t="shared" si="318"/>
        <v>302.7</v>
      </c>
      <c r="P358" s="134">
        <f t="shared" si="319"/>
        <v>22.89</v>
      </c>
      <c r="Q358" s="164">
        <f t="shared" si="320"/>
        <v>686.7</v>
      </c>
      <c r="R358" s="167"/>
      <c r="S358" s="167"/>
      <c r="T358" s="167"/>
      <c r="U358" s="167"/>
      <c r="V358" s="167"/>
      <c r="W358" s="167"/>
      <c r="X358" s="167"/>
      <c r="Y358" s="167"/>
      <c r="Z358" s="167"/>
      <c r="AA358" s="167"/>
      <c r="AB358" s="167"/>
      <c r="AC358" s="167"/>
      <c r="AD358" s="167"/>
      <c r="AE358" s="167"/>
      <c r="AF358" s="167"/>
      <c r="AG358" s="167"/>
      <c r="AH358" s="167"/>
      <c r="AI358" s="167"/>
      <c r="AJ358" s="167"/>
    </row>
    <row r="359" spans="1:36" s="30" customFormat="1" ht="31.2">
      <c r="A359" s="83">
        <f>IF(F359&lt;&gt;"",1+MAX($A$2:A358),"")</f>
        <v>289</v>
      </c>
      <c r="B359" s="84"/>
      <c r="C359" s="85"/>
      <c r="D359" s="58" t="s">
        <v>345</v>
      </c>
      <c r="E359" s="61">
        <v>1</v>
      </c>
      <c r="F359" s="60">
        <v>0</v>
      </c>
      <c r="G359" s="55">
        <f t="shared" si="314"/>
        <v>1</v>
      </c>
      <c r="H359" s="59" t="s">
        <v>71</v>
      </c>
      <c r="I359" s="131">
        <v>1.5</v>
      </c>
      <c r="J359" s="132">
        <f t="shared" si="315"/>
        <v>1.5</v>
      </c>
      <c r="K359" s="133">
        <f>'LABOR SHEET'!C$3</f>
        <v>128</v>
      </c>
      <c r="L359" s="134">
        <f t="shared" si="316"/>
        <v>192</v>
      </c>
      <c r="M359" s="134">
        <f t="shared" si="317"/>
        <v>192</v>
      </c>
      <c r="N359" s="134">
        <v>201.48</v>
      </c>
      <c r="O359" s="134">
        <f t="shared" si="318"/>
        <v>201.48</v>
      </c>
      <c r="P359" s="134">
        <f t="shared" si="319"/>
        <v>393.48</v>
      </c>
      <c r="Q359" s="164">
        <f t="shared" si="320"/>
        <v>393.48</v>
      </c>
      <c r="R359" s="167"/>
      <c r="S359" s="167"/>
      <c r="T359" s="167"/>
      <c r="U359" s="167"/>
      <c r="V359" s="167"/>
      <c r="W359" s="167"/>
      <c r="X359" s="167"/>
      <c r="Y359" s="167"/>
      <c r="Z359" s="167"/>
      <c r="AA359" s="167"/>
      <c r="AB359" s="167"/>
      <c r="AC359" s="167"/>
      <c r="AD359" s="167"/>
      <c r="AE359" s="167"/>
      <c r="AF359" s="167"/>
      <c r="AG359" s="167"/>
      <c r="AH359" s="167"/>
      <c r="AI359" s="167"/>
      <c r="AJ359" s="167"/>
    </row>
    <row r="360" spans="1:36" s="30" customFormat="1">
      <c r="A360" s="83">
        <f>IF(F360&lt;&gt;"",1+MAX($A$2:A359),"")</f>
        <v>290</v>
      </c>
      <c r="B360" s="84"/>
      <c r="C360" s="85"/>
      <c r="D360" s="58" t="s">
        <v>72</v>
      </c>
      <c r="E360" s="61">
        <v>17</v>
      </c>
      <c r="F360" s="60">
        <v>0</v>
      </c>
      <c r="G360" s="55">
        <f t="shared" si="314"/>
        <v>17</v>
      </c>
      <c r="H360" s="59" t="s">
        <v>71</v>
      </c>
      <c r="I360" s="131">
        <v>0.25</v>
      </c>
      <c r="J360" s="132">
        <f t="shared" si="315"/>
        <v>4.25</v>
      </c>
      <c r="K360" s="133">
        <f>'LABOR SHEET'!C$3</f>
        <v>128</v>
      </c>
      <c r="L360" s="134">
        <f t="shared" si="316"/>
        <v>32</v>
      </c>
      <c r="M360" s="134">
        <f t="shared" si="317"/>
        <v>544</v>
      </c>
      <c r="N360" s="134">
        <v>20</v>
      </c>
      <c r="O360" s="134">
        <f t="shared" si="318"/>
        <v>340</v>
      </c>
      <c r="P360" s="134">
        <f t="shared" si="319"/>
        <v>52</v>
      </c>
      <c r="Q360" s="164">
        <f t="shared" si="320"/>
        <v>884</v>
      </c>
      <c r="R360" s="167"/>
      <c r="S360" s="167"/>
      <c r="T360" s="167"/>
      <c r="U360" s="167"/>
      <c r="V360" s="167"/>
      <c r="W360" s="167"/>
      <c r="X360" s="167"/>
      <c r="Y360" s="167"/>
      <c r="Z360" s="167"/>
      <c r="AA360" s="167"/>
      <c r="AB360" s="167"/>
      <c r="AC360" s="167"/>
      <c r="AD360" s="167"/>
      <c r="AE360" s="167"/>
      <c r="AF360" s="167"/>
      <c r="AG360" s="167"/>
      <c r="AH360" s="167"/>
      <c r="AI360" s="167"/>
      <c r="AJ360" s="167"/>
    </row>
    <row r="361" spans="1:36" s="30" customFormat="1">
      <c r="A361" s="83">
        <f>IF(F361&lt;&gt;"",1+MAX($A$2:A360),"")</f>
        <v>291</v>
      </c>
      <c r="B361" s="84"/>
      <c r="C361" s="85"/>
      <c r="D361" s="58" t="s">
        <v>346</v>
      </c>
      <c r="E361" s="61">
        <v>1</v>
      </c>
      <c r="F361" s="60">
        <v>0</v>
      </c>
      <c r="G361" s="55">
        <f t="shared" si="314"/>
        <v>1</v>
      </c>
      <c r="H361" s="59" t="s">
        <v>71</v>
      </c>
      <c r="I361" s="131">
        <v>1.55</v>
      </c>
      <c r="J361" s="132">
        <f t="shared" si="315"/>
        <v>1.55</v>
      </c>
      <c r="K361" s="133">
        <f>'LABOR SHEET'!C$3</f>
        <v>128</v>
      </c>
      <c r="L361" s="134">
        <f t="shared" si="316"/>
        <v>198.4</v>
      </c>
      <c r="M361" s="134">
        <f t="shared" si="317"/>
        <v>198.4</v>
      </c>
      <c r="N361" s="134">
        <v>235</v>
      </c>
      <c r="O361" s="134">
        <f t="shared" si="318"/>
        <v>235</v>
      </c>
      <c r="P361" s="134">
        <f t="shared" si="319"/>
        <v>433.4</v>
      </c>
      <c r="Q361" s="164">
        <f t="shared" si="320"/>
        <v>433.4</v>
      </c>
      <c r="R361" s="167"/>
      <c r="S361" s="167"/>
      <c r="T361" s="167"/>
      <c r="U361" s="167"/>
      <c r="V361" s="167"/>
      <c r="W361" s="167"/>
      <c r="X361" s="167"/>
      <c r="Y361" s="167"/>
      <c r="Z361" s="167"/>
      <c r="AA361" s="167"/>
      <c r="AB361" s="167"/>
      <c r="AC361" s="167"/>
      <c r="AD361" s="167"/>
      <c r="AE361" s="167"/>
      <c r="AF361" s="167"/>
      <c r="AG361" s="167"/>
      <c r="AH361" s="167"/>
      <c r="AI361" s="167"/>
      <c r="AJ361" s="167"/>
    </row>
    <row r="362" spans="1:36" s="30" customFormat="1">
      <c r="A362" s="83">
        <f>IF(F362&lt;&gt;"",1+MAX($A$2:A361),"")</f>
        <v>292</v>
      </c>
      <c r="B362" s="84"/>
      <c r="C362" s="85"/>
      <c r="D362" s="58" t="s">
        <v>347</v>
      </c>
      <c r="E362" s="61">
        <v>4</v>
      </c>
      <c r="F362" s="60">
        <v>0</v>
      </c>
      <c r="G362" s="55">
        <f t="shared" si="314"/>
        <v>4</v>
      </c>
      <c r="H362" s="59" t="s">
        <v>71</v>
      </c>
      <c r="I362" s="131">
        <v>0.7</v>
      </c>
      <c r="J362" s="132">
        <f t="shared" si="315"/>
        <v>2.8</v>
      </c>
      <c r="K362" s="133">
        <f>'LABOR SHEET'!C$3</f>
        <v>128</v>
      </c>
      <c r="L362" s="134">
        <f t="shared" si="316"/>
        <v>89.6</v>
      </c>
      <c r="M362" s="134">
        <f t="shared" si="317"/>
        <v>358.4</v>
      </c>
      <c r="N362" s="134">
        <v>86</v>
      </c>
      <c r="O362" s="134">
        <f t="shared" si="318"/>
        <v>344</v>
      </c>
      <c r="P362" s="134">
        <f t="shared" si="319"/>
        <v>175.6</v>
      </c>
      <c r="Q362" s="164">
        <f t="shared" si="320"/>
        <v>702.4</v>
      </c>
      <c r="R362" s="167"/>
      <c r="S362" s="167"/>
      <c r="T362" s="167"/>
      <c r="U362" s="167"/>
      <c r="V362" s="167"/>
      <c r="W362" s="167"/>
      <c r="X362" s="167"/>
      <c r="Y362" s="167"/>
      <c r="Z362" s="167"/>
      <c r="AA362" s="167"/>
      <c r="AB362" s="167"/>
      <c r="AC362" s="167"/>
      <c r="AD362" s="167"/>
      <c r="AE362" s="167"/>
      <c r="AF362" s="167"/>
      <c r="AG362" s="167"/>
      <c r="AH362" s="167"/>
      <c r="AI362" s="167"/>
      <c r="AJ362" s="167"/>
    </row>
    <row r="363" spans="1:36" s="30" customFormat="1" ht="62.4">
      <c r="A363" s="83">
        <f>IF(F363&lt;&gt;"",1+MAX($A$2:A362),"")</f>
        <v>293</v>
      </c>
      <c r="B363" s="84"/>
      <c r="C363" s="85"/>
      <c r="D363" s="58" t="s">
        <v>348</v>
      </c>
      <c r="E363" s="61">
        <v>1</v>
      </c>
      <c r="F363" s="60">
        <v>0</v>
      </c>
      <c r="G363" s="55">
        <f t="shared" si="314"/>
        <v>1</v>
      </c>
      <c r="H363" s="59" t="s">
        <v>71</v>
      </c>
      <c r="I363" s="131">
        <v>5.5</v>
      </c>
      <c r="J363" s="132">
        <f t="shared" si="315"/>
        <v>5.5</v>
      </c>
      <c r="K363" s="133">
        <f>'LABOR SHEET'!C$3</f>
        <v>128</v>
      </c>
      <c r="L363" s="134">
        <f t="shared" si="316"/>
        <v>704</v>
      </c>
      <c r="M363" s="134">
        <f t="shared" si="317"/>
        <v>704</v>
      </c>
      <c r="N363" s="134">
        <v>2641.17</v>
      </c>
      <c r="O363" s="134">
        <f t="shared" si="318"/>
        <v>2641.17</v>
      </c>
      <c r="P363" s="134">
        <f t="shared" si="319"/>
        <v>3345.17</v>
      </c>
      <c r="Q363" s="164">
        <f t="shared" si="320"/>
        <v>3345.17</v>
      </c>
      <c r="R363" s="167"/>
      <c r="S363" s="167"/>
      <c r="T363" s="167"/>
      <c r="U363" s="167"/>
      <c r="V363" s="167"/>
      <c r="W363" s="167"/>
      <c r="X363" s="167"/>
      <c r="Y363" s="167"/>
      <c r="Z363" s="167"/>
      <c r="AA363" s="167"/>
      <c r="AB363" s="167"/>
      <c r="AC363" s="167"/>
      <c r="AD363" s="167"/>
      <c r="AE363" s="167"/>
      <c r="AF363" s="167"/>
      <c r="AG363" s="167"/>
      <c r="AH363" s="167"/>
      <c r="AI363" s="167"/>
      <c r="AJ363" s="167"/>
    </row>
    <row r="364" spans="1:36" s="30" customFormat="1">
      <c r="A364" s="83">
        <f>IF(F364&lt;&gt;"",1+MAX($A$2:A363),"")</f>
        <v>294</v>
      </c>
      <c r="B364" s="84"/>
      <c r="C364" s="85"/>
      <c r="D364" s="58" t="s">
        <v>349</v>
      </c>
      <c r="E364" s="61">
        <v>6</v>
      </c>
      <c r="F364" s="60">
        <v>0</v>
      </c>
      <c r="G364" s="55">
        <f t="shared" si="314"/>
        <v>6</v>
      </c>
      <c r="H364" s="59" t="s">
        <v>71</v>
      </c>
      <c r="I364" s="131">
        <v>0.55000000000000004</v>
      </c>
      <c r="J364" s="132">
        <f t="shared" si="315"/>
        <v>3.3</v>
      </c>
      <c r="K364" s="133">
        <f>'LABOR SHEET'!C$3</f>
        <v>128</v>
      </c>
      <c r="L364" s="134">
        <f t="shared" si="316"/>
        <v>70.400000000000006</v>
      </c>
      <c r="M364" s="134">
        <f t="shared" si="317"/>
        <v>422.4</v>
      </c>
      <c r="N364" s="134">
        <v>50.95</v>
      </c>
      <c r="O364" s="134">
        <f t="shared" si="318"/>
        <v>305.7</v>
      </c>
      <c r="P364" s="134">
        <f t="shared" si="319"/>
        <v>121.35</v>
      </c>
      <c r="Q364" s="164">
        <f t="shared" si="320"/>
        <v>728.1</v>
      </c>
      <c r="R364" s="167"/>
      <c r="S364" s="167"/>
      <c r="T364" s="167"/>
      <c r="U364" s="167"/>
      <c r="V364" s="167"/>
      <c r="W364" s="167"/>
      <c r="X364" s="167"/>
      <c r="Y364" s="167"/>
      <c r="Z364" s="167"/>
      <c r="AA364" s="167"/>
      <c r="AB364" s="167"/>
      <c r="AC364" s="167"/>
      <c r="AD364" s="167"/>
      <c r="AE364" s="167"/>
      <c r="AF364" s="167"/>
      <c r="AG364" s="167"/>
      <c r="AH364" s="167"/>
      <c r="AI364" s="167"/>
      <c r="AJ364" s="167"/>
    </row>
    <row r="365" spans="1:36" s="30" customFormat="1" ht="31.2">
      <c r="A365" s="83">
        <f>IF(F365&lt;&gt;"",1+MAX($A$2:A364),"")</f>
        <v>295</v>
      </c>
      <c r="B365" s="84"/>
      <c r="C365" s="85"/>
      <c r="D365" s="58" t="s">
        <v>350</v>
      </c>
      <c r="E365" s="61">
        <v>1</v>
      </c>
      <c r="F365" s="60">
        <v>0</v>
      </c>
      <c r="G365" s="55">
        <f t="shared" si="314"/>
        <v>1</v>
      </c>
      <c r="H365" s="59" t="s">
        <v>71</v>
      </c>
      <c r="I365" s="131">
        <v>1</v>
      </c>
      <c r="J365" s="132">
        <f t="shared" si="315"/>
        <v>1</v>
      </c>
      <c r="K365" s="133">
        <f>'LABOR SHEET'!C$3</f>
        <v>128</v>
      </c>
      <c r="L365" s="134">
        <f t="shared" si="316"/>
        <v>128</v>
      </c>
      <c r="M365" s="134">
        <f t="shared" si="317"/>
        <v>128</v>
      </c>
      <c r="N365" s="134">
        <v>383.86</v>
      </c>
      <c r="O365" s="134">
        <f t="shared" si="318"/>
        <v>383.86</v>
      </c>
      <c r="P365" s="134">
        <f t="shared" si="319"/>
        <v>511.86</v>
      </c>
      <c r="Q365" s="164">
        <f t="shared" si="320"/>
        <v>511.86</v>
      </c>
      <c r="R365" s="167"/>
      <c r="S365" s="167"/>
      <c r="T365" s="167"/>
      <c r="U365" s="167"/>
      <c r="V365" s="167"/>
      <c r="W365" s="167"/>
      <c r="X365" s="167"/>
      <c r="Y365" s="167"/>
      <c r="Z365" s="167"/>
      <c r="AA365" s="167"/>
      <c r="AB365" s="167"/>
      <c r="AC365" s="167"/>
      <c r="AD365" s="167"/>
      <c r="AE365" s="167"/>
      <c r="AF365" s="167"/>
      <c r="AG365" s="167"/>
      <c r="AH365" s="167"/>
      <c r="AI365" s="167"/>
      <c r="AJ365" s="167"/>
    </row>
    <row r="366" spans="1:36" s="30" customFormat="1" ht="31.2">
      <c r="A366" s="83">
        <f>IF(F366&lt;&gt;"",1+MAX($A$2:A365),"")</f>
        <v>296</v>
      </c>
      <c r="B366" s="84"/>
      <c r="C366" s="85"/>
      <c r="D366" s="58" t="s">
        <v>351</v>
      </c>
      <c r="E366" s="61">
        <v>1</v>
      </c>
      <c r="F366" s="60">
        <v>0</v>
      </c>
      <c r="G366" s="55">
        <f t="shared" si="314"/>
        <v>1</v>
      </c>
      <c r="H366" s="59" t="s">
        <v>71</v>
      </c>
      <c r="I366" s="131">
        <v>4</v>
      </c>
      <c r="J366" s="132">
        <f t="shared" si="315"/>
        <v>4</v>
      </c>
      <c r="K366" s="133">
        <f>'LABOR SHEET'!C$3</f>
        <v>128</v>
      </c>
      <c r="L366" s="134">
        <f t="shared" si="316"/>
        <v>512</v>
      </c>
      <c r="M366" s="134">
        <f t="shared" si="317"/>
        <v>512</v>
      </c>
      <c r="N366" s="134">
        <v>1832.53</v>
      </c>
      <c r="O366" s="134">
        <f t="shared" si="318"/>
        <v>1832.53</v>
      </c>
      <c r="P366" s="134">
        <f t="shared" si="319"/>
        <v>2344.5300000000002</v>
      </c>
      <c r="Q366" s="164">
        <f t="shared" si="320"/>
        <v>2344.5300000000002</v>
      </c>
      <c r="R366" s="167"/>
      <c r="S366" s="167"/>
      <c r="T366" s="167"/>
      <c r="U366" s="167"/>
      <c r="V366" s="167"/>
      <c r="W366" s="167"/>
      <c r="X366" s="167"/>
      <c r="Y366" s="167"/>
      <c r="Z366" s="167"/>
      <c r="AA366" s="167"/>
      <c r="AB366" s="167"/>
      <c r="AC366" s="167"/>
      <c r="AD366" s="167"/>
      <c r="AE366" s="167"/>
      <c r="AF366" s="167"/>
      <c r="AG366" s="167"/>
      <c r="AH366" s="167"/>
      <c r="AI366" s="167"/>
      <c r="AJ366" s="167"/>
    </row>
    <row r="367" spans="1:36" s="30" customFormat="1" ht="31.2">
      <c r="A367" s="83">
        <f>IF(F367&lt;&gt;"",1+MAX($A$2:A366),"")</f>
        <v>297</v>
      </c>
      <c r="B367" s="84"/>
      <c r="C367" s="85"/>
      <c r="D367" s="58" t="s">
        <v>352</v>
      </c>
      <c r="E367" s="61">
        <v>1</v>
      </c>
      <c r="F367" s="60">
        <v>0</v>
      </c>
      <c r="G367" s="55">
        <f t="shared" si="314"/>
        <v>1</v>
      </c>
      <c r="H367" s="59" t="s">
        <v>71</v>
      </c>
      <c r="I367" s="131">
        <v>4</v>
      </c>
      <c r="J367" s="132">
        <f t="shared" si="315"/>
        <v>4</v>
      </c>
      <c r="K367" s="133">
        <f>'LABOR SHEET'!C$3</f>
        <v>128</v>
      </c>
      <c r="L367" s="134">
        <f t="shared" si="316"/>
        <v>512</v>
      </c>
      <c r="M367" s="134">
        <f t="shared" si="317"/>
        <v>512</v>
      </c>
      <c r="N367" s="134">
        <v>1832.53</v>
      </c>
      <c r="O367" s="134">
        <f t="shared" si="318"/>
        <v>1832.53</v>
      </c>
      <c r="P367" s="134">
        <f t="shared" si="319"/>
        <v>2344.5300000000002</v>
      </c>
      <c r="Q367" s="164">
        <f t="shared" si="320"/>
        <v>2344.5300000000002</v>
      </c>
      <c r="R367" s="167"/>
      <c r="S367" s="167"/>
      <c r="T367" s="167"/>
      <c r="U367" s="167"/>
      <c r="V367" s="167"/>
      <c r="W367" s="167"/>
      <c r="X367" s="167"/>
      <c r="Y367" s="167"/>
      <c r="Z367" s="167"/>
      <c r="AA367" s="167"/>
      <c r="AB367" s="167"/>
      <c r="AC367" s="167"/>
      <c r="AD367" s="167"/>
      <c r="AE367" s="167"/>
      <c r="AF367" s="167"/>
      <c r="AG367" s="167"/>
      <c r="AH367" s="167"/>
      <c r="AI367" s="167"/>
      <c r="AJ367" s="167"/>
    </row>
    <row r="368" spans="1:36" s="30" customFormat="1">
      <c r="A368" s="83">
        <f>IF(F368&lt;&gt;"",1+MAX($A$2:A367),"")</f>
        <v>298</v>
      </c>
      <c r="B368" s="84"/>
      <c r="C368" s="85"/>
      <c r="D368" s="58" t="s">
        <v>353</v>
      </c>
      <c r="E368" s="61">
        <v>1</v>
      </c>
      <c r="F368" s="60">
        <v>0</v>
      </c>
      <c r="G368" s="55">
        <f t="shared" si="314"/>
        <v>1</v>
      </c>
      <c r="H368" s="59" t="s">
        <v>71</v>
      </c>
      <c r="I368" s="131">
        <v>10</v>
      </c>
      <c r="J368" s="132">
        <f t="shared" si="315"/>
        <v>10</v>
      </c>
      <c r="K368" s="133">
        <f>'LABOR SHEET'!C$3</f>
        <v>128</v>
      </c>
      <c r="L368" s="134">
        <f t="shared" si="316"/>
        <v>1280</v>
      </c>
      <c r="M368" s="134">
        <f t="shared" si="317"/>
        <v>1280</v>
      </c>
      <c r="N368" s="134">
        <v>4900</v>
      </c>
      <c r="O368" s="134">
        <f t="shared" si="318"/>
        <v>4900</v>
      </c>
      <c r="P368" s="134">
        <f t="shared" si="319"/>
        <v>6180</v>
      </c>
      <c r="Q368" s="164">
        <f t="shared" si="320"/>
        <v>6180</v>
      </c>
      <c r="R368" s="167"/>
      <c r="S368" s="167"/>
      <c r="T368" s="167"/>
      <c r="U368" s="167"/>
      <c r="V368" s="167"/>
      <c r="W368" s="167"/>
      <c r="X368" s="167"/>
      <c r="Y368" s="167"/>
      <c r="Z368" s="167"/>
      <c r="AA368" s="167"/>
      <c r="AB368" s="167"/>
      <c r="AC368" s="167"/>
      <c r="AD368" s="167"/>
      <c r="AE368" s="167"/>
      <c r="AF368" s="167"/>
      <c r="AG368" s="167"/>
      <c r="AH368" s="167"/>
      <c r="AI368" s="167"/>
      <c r="AJ368" s="167"/>
    </row>
    <row r="369" spans="1:36" s="30" customFormat="1" ht="31.2">
      <c r="A369" s="83">
        <f>IF(F369&lt;&gt;"",1+MAX($A$2:A368),"")</f>
        <v>299</v>
      </c>
      <c r="B369" s="84"/>
      <c r="C369" s="85"/>
      <c r="D369" s="58" t="s">
        <v>354</v>
      </c>
      <c r="E369" s="61">
        <v>1</v>
      </c>
      <c r="F369" s="60">
        <v>0</v>
      </c>
      <c r="G369" s="55">
        <f t="shared" si="314"/>
        <v>1</v>
      </c>
      <c r="H369" s="59" t="s">
        <v>71</v>
      </c>
      <c r="I369" s="131">
        <v>3.5</v>
      </c>
      <c r="J369" s="132">
        <f t="shared" si="315"/>
        <v>3.5</v>
      </c>
      <c r="K369" s="133">
        <f>'LABOR SHEET'!C$3</f>
        <v>128</v>
      </c>
      <c r="L369" s="134">
        <f t="shared" si="316"/>
        <v>448</v>
      </c>
      <c r="M369" s="134">
        <f t="shared" si="317"/>
        <v>448</v>
      </c>
      <c r="N369" s="134">
        <v>1099.95</v>
      </c>
      <c r="O369" s="134">
        <f t="shared" si="318"/>
        <v>1099.95</v>
      </c>
      <c r="P369" s="134">
        <f t="shared" si="319"/>
        <v>1547.95</v>
      </c>
      <c r="Q369" s="164">
        <f t="shared" si="320"/>
        <v>1547.95</v>
      </c>
      <c r="R369" s="167"/>
      <c r="S369" s="167"/>
      <c r="T369" s="167"/>
      <c r="U369" s="167"/>
      <c r="V369" s="167"/>
      <c r="W369" s="167"/>
      <c r="X369" s="167"/>
      <c r="Y369" s="167"/>
      <c r="Z369" s="167"/>
      <c r="AA369" s="167"/>
      <c r="AB369" s="167"/>
      <c r="AC369" s="167"/>
      <c r="AD369" s="167"/>
      <c r="AE369" s="167"/>
      <c r="AF369" s="167"/>
      <c r="AG369" s="167"/>
      <c r="AH369" s="167"/>
      <c r="AI369" s="167"/>
      <c r="AJ369" s="167"/>
    </row>
    <row r="370" spans="1:36" s="30" customFormat="1">
      <c r="A370" s="83">
        <f>IF(F370&lt;&gt;"",1+MAX($A$2:A369),"")</f>
        <v>300</v>
      </c>
      <c r="B370" s="84"/>
      <c r="C370" s="85"/>
      <c r="D370" s="58" t="s">
        <v>355</v>
      </c>
      <c r="E370" s="61">
        <v>1</v>
      </c>
      <c r="F370" s="60">
        <v>0</v>
      </c>
      <c r="G370" s="55">
        <f t="shared" si="314"/>
        <v>1</v>
      </c>
      <c r="H370" s="59" t="s">
        <v>71</v>
      </c>
      <c r="I370" s="131">
        <v>3</v>
      </c>
      <c r="J370" s="132">
        <f t="shared" si="315"/>
        <v>3</v>
      </c>
      <c r="K370" s="133">
        <f>'LABOR SHEET'!C$3</f>
        <v>128</v>
      </c>
      <c r="L370" s="134">
        <f t="shared" si="316"/>
        <v>384</v>
      </c>
      <c r="M370" s="134">
        <f t="shared" si="317"/>
        <v>384</v>
      </c>
      <c r="N370" s="134">
        <v>460</v>
      </c>
      <c r="O370" s="134">
        <f t="shared" si="318"/>
        <v>460</v>
      </c>
      <c r="P370" s="134">
        <f t="shared" si="319"/>
        <v>844</v>
      </c>
      <c r="Q370" s="164">
        <f t="shared" si="320"/>
        <v>844</v>
      </c>
      <c r="R370" s="167"/>
      <c r="S370" s="167"/>
      <c r="T370" s="167"/>
      <c r="U370" s="167"/>
      <c r="V370" s="167"/>
      <c r="W370" s="167"/>
      <c r="X370" s="167"/>
      <c r="Y370" s="167"/>
      <c r="Z370" s="167"/>
      <c r="AA370" s="167"/>
      <c r="AB370" s="167"/>
      <c r="AC370" s="167"/>
      <c r="AD370" s="167"/>
      <c r="AE370" s="167"/>
      <c r="AF370" s="167"/>
      <c r="AG370" s="167"/>
      <c r="AH370" s="167"/>
      <c r="AI370" s="167"/>
      <c r="AJ370" s="167"/>
    </row>
    <row r="371" spans="1:36" s="30" customFormat="1" ht="31.2">
      <c r="A371" s="83">
        <f>IF(F371&lt;&gt;"",1+MAX($A$2:A370),"")</f>
        <v>301</v>
      </c>
      <c r="B371" s="84"/>
      <c r="C371" s="85"/>
      <c r="D371" s="58" t="s">
        <v>356</v>
      </c>
      <c r="E371" s="61">
        <v>15</v>
      </c>
      <c r="F371" s="60">
        <v>0</v>
      </c>
      <c r="G371" s="55">
        <f t="shared" si="314"/>
        <v>15</v>
      </c>
      <c r="H371" s="59" t="s">
        <v>71</v>
      </c>
      <c r="I371" s="131">
        <v>1</v>
      </c>
      <c r="J371" s="132">
        <f t="shared" si="315"/>
        <v>15</v>
      </c>
      <c r="K371" s="133">
        <f>'LABOR SHEET'!C$3</f>
        <v>128</v>
      </c>
      <c r="L371" s="134">
        <f t="shared" si="316"/>
        <v>128</v>
      </c>
      <c r="M371" s="134">
        <f t="shared" si="317"/>
        <v>1920</v>
      </c>
      <c r="N371" s="134">
        <v>119.99</v>
      </c>
      <c r="O371" s="134">
        <f t="shared" si="318"/>
        <v>1799.85</v>
      </c>
      <c r="P371" s="134">
        <f t="shared" si="319"/>
        <v>247.99</v>
      </c>
      <c r="Q371" s="164">
        <f t="shared" si="320"/>
        <v>3719.85</v>
      </c>
      <c r="R371" s="167"/>
      <c r="S371" s="167"/>
      <c r="T371" s="167"/>
      <c r="U371" s="167"/>
      <c r="V371" s="167"/>
      <c r="W371" s="167"/>
      <c r="X371" s="167"/>
      <c r="Y371" s="167"/>
      <c r="Z371" s="167"/>
      <c r="AA371" s="167"/>
      <c r="AB371" s="167"/>
      <c r="AC371" s="167"/>
      <c r="AD371" s="167"/>
      <c r="AE371" s="167"/>
      <c r="AF371" s="167"/>
      <c r="AG371" s="167"/>
      <c r="AH371" s="167"/>
      <c r="AI371" s="167"/>
      <c r="AJ371" s="167"/>
    </row>
    <row r="372" spans="1:36" s="30" customFormat="1" ht="31.2">
      <c r="A372" s="83">
        <f>IF(F372&lt;&gt;"",1+MAX($A$2:A371),"")</f>
        <v>302</v>
      </c>
      <c r="B372" s="84"/>
      <c r="C372" s="85"/>
      <c r="D372" s="58" t="s">
        <v>357</v>
      </c>
      <c r="E372" s="61">
        <v>1</v>
      </c>
      <c r="F372" s="60">
        <v>0</v>
      </c>
      <c r="G372" s="55">
        <f t="shared" si="314"/>
        <v>1</v>
      </c>
      <c r="H372" s="59" t="s">
        <v>71</v>
      </c>
      <c r="I372" s="131">
        <v>1.5</v>
      </c>
      <c r="J372" s="132">
        <f t="shared" si="315"/>
        <v>1.5</v>
      </c>
      <c r="K372" s="133">
        <f>'LABOR SHEET'!C$3</f>
        <v>128</v>
      </c>
      <c r="L372" s="134">
        <f t="shared" si="316"/>
        <v>192</v>
      </c>
      <c r="M372" s="134">
        <f t="shared" si="317"/>
        <v>192</v>
      </c>
      <c r="N372" s="134">
        <v>474.95</v>
      </c>
      <c r="O372" s="134">
        <f t="shared" si="318"/>
        <v>474.95</v>
      </c>
      <c r="P372" s="134">
        <f t="shared" si="319"/>
        <v>666.95</v>
      </c>
      <c r="Q372" s="164">
        <f t="shared" si="320"/>
        <v>666.95</v>
      </c>
      <c r="R372" s="167"/>
      <c r="S372" s="167"/>
      <c r="T372" s="167"/>
      <c r="U372" s="167"/>
      <c r="V372" s="167"/>
      <c r="W372" s="167"/>
      <c r="X372" s="167"/>
      <c r="Y372" s="167"/>
      <c r="Z372" s="167"/>
      <c r="AA372" s="167"/>
      <c r="AB372" s="167"/>
      <c r="AC372" s="167"/>
      <c r="AD372" s="167"/>
      <c r="AE372" s="167"/>
      <c r="AF372" s="167"/>
      <c r="AG372" s="167"/>
      <c r="AH372" s="167"/>
      <c r="AI372" s="167"/>
      <c r="AJ372" s="167"/>
    </row>
    <row r="373" spans="1:36" s="30" customFormat="1" ht="31.2">
      <c r="A373" s="83">
        <f>IF(F373&lt;&gt;"",1+MAX($A$2:A372),"")</f>
        <v>303</v>
      </c>
      <c r="B373" s="84"/>
      <c r="C373" s="85"/>
      <c r="D373" s="58" t="s">
        <v>358</v>
      </c>
      <c r="E373" s="61">
        <v>1</v>
      </c>
      <c r="F373" s="60">
        <v>0</v>
      </c>
      <c r="G373" s="55">
        <f t="shared" si="314"/>
        <v>1</v>
      </c>
      <c r="H373" s="59" t="s">
        <v>71</v>
      </c>
      <c r="I373" s="131">
        <v>1.3</v>
      </c>
      <c r="J373" s="132">
        <f t="shared" si="315"/>
        <v>1.3</v>
      </c>
      <c r="K373" s="133">
        <f>'LABOR SHEET'!C$3</f>
        <v>128</v>
      </c>
      <c r="L373" s="134">
        <f t="shared" si="316"/>
        <v>166.4</v>
      </c>
      <c r="M373" s="134">
        <f t="shared" si="317"/>
        <v>166.4</v>
      </c>
      <c r="N373" s="134">
        <v>201.48</v>
      </c>
      <c r="O373" s="134">
        <f t="shared" si="318"/>
        <v>201.48</v>
      </c>
      <c r="P373" s="134">
        <f t="shared" si="319"/>
        <v>367.88</v>
      </c>
      <c r="Q373" s="164">
        <f t="shared" si="320"/>
        <v>367.88</v>
      </c>
      <c r="R373" s="167"/>
      <c r="S373" s="167"/>
      <c r="T373" s="167"/>
      <c r="U373" s="167"/>
      <c r="V373" s="167"/>
      <c r="W373" s="167"/>
      <c r="X373" s="167"/>
      <c r="Y373" s="167"/>
      <c r="Z373" s="167"/>
      <c r="AA373" s="167"/>
      <c r="AB373" s="167"/>
      <c r="AC373" s="167"/>
      <c r="AD373" s="167"/>
      <c r="AE373" s="167"/>
      <c r="AF373" s="167"/>
      <c r="AG373" s="167"/>
      <c r="AH373" s="167"/>
      <c r="AI373" s="167"/>
      <c r="AJ373" s="167"/>
    </row>
    <row r="374" spans="1:36" s="30" customFormat="1">
      <c r="A374" s="83">
        <f>IF(F374&lt;&gt;"",1+MAX($A$2:A373),"")</f>
        <v>304</v>
      </c>
      <c r="B374" s="84"/>
      <c r="C374" s="85"/>
      <c r="D374" s="58" t="s">
        <v>359</v>
      </c>
      <c r="E374" s="61">
        <v>1</v>
      </c>
      <c r="F374" s="60">
        <v>0</v>
      </c>
      <c r="G374" s="55">
        <f t="shared" si="314"/>
        <v>1</v>
      </c>
      <c r="H374" s="59" t="s">
        <v>71</v>
      </c>
      <c r="I374" s="131">
        <v>5.5</v>
      </c>
      <c r="J374" s="132">
        <f t="shared" si="315"/>
        <v>5.5</v>
      </c>
      <c r="K374" s="133">
        <f>'LABOR SHEET'!C$3</f>
        <v>128</v>
      </c>
      <c r="L374" s="134">
        <f t="shared" si="316"/>
        <v>704</v>
      </c>
      <c r="M374" s="134">
        <f t="shared" si="317"/>
        <v>704</v>
      </c>
      <c r="N374" s="134">
        <v>1067</v>
      </c>
      <c r="O374" s="134">
        <f t="shared" si="318"/>
        <v>1067</v>
      </c>
      <c r="P374" s="134">
        <f t="shared" si="319"/>
        <v>1771</v>
      </c>
      <c r="Q374" s="164">
        <f t="shared" si="320"/>
        <v>1771</v>
      </c>
      <c r="R374" s="167"/>
      <c r="S374" s="167"/>
      <c r="T374" s="167"/>
      <c r="U374" s="167"/>
      <c r="V374" s="167"/>
      <c r="W374" s="167"/>
      <c r="X374" s="167"/>
      <c r="Y374" s="167"/>
      <c r="Z374" s="167"/>
      <c r="AA374" s="167"/>
      <c r="AB374" s="167"/>
      <c r="AC374" s="167"/>
      <c r="AD374" s="167"/>
      <c r="AE374" s="167"/>
      <c r="AF374" s="167"/>
      <c r="AG374" s="167"/>
      <c r="AH374" s="167"/>
      <c r="AI374" s="167"/>
      <c r="AJ374" s="167"/>
    </row>
    <row r="375" spans="1:36" s="30" customFormat="1">
      <c r="A375" s="83" t="str">
        <f>IF(F375&lt;&gt;"",1+MAX($A$2:A374),"")</f>
        <v/>
      </c>
      <c r="B375" s="84"/>
      <c r="C375" s="85"/>
      <c r="D375" s="58"/>
      <c r="E375" s="61"/>
      <c r="F375" s="86"/>
      <c r="G375" s="87"/>
      <c r="H375" s="59"/>
      <c r="I375" s="131"/>
      <c r="J375" s="132"/>
      <c r="K375" s="133"/>
      <c r="L375" s="134"/>
      <c r="M375" s="134"/>
      <c r="N375" s="134"/>
      <c r="O375" s="134"/>
      <c r="P375" s="134"/>
      <c r="Q375" s="165"/>
      <c r="R375" s="167"/>
      <c r="S375" s="167"/>
      <c r="T375" s="167"/>
      <c r="U375" s="167"/>
      <c r="V375" s="167"/>
      <c r="W375" s="167"/>
      <c r="X375" s="167"/>
      <c r="Y375" s="167"/>
      <c r="Z375" s="167"/>
      <c r="AA375" s="167"/>
      <c r="AB375" s="167"/>
      <c r="AC375" s="167"/>
      <c r="AD375" s="167"/>
      <c r="AE375" s="167"/>
      <c r="AF375" s="167"/>
      <c r="AG375" s="167"/>
      <c r="AH375" s="167"/>
      <c r="AI375" s="167"/>
      <c r="AJ375" s="167"/>
    </row>
    <row r="376" spans="1:36" s="30" customFormat="1">
      <c r="A376" s="83" t="str">
        <f>IF(F376&lt;&gt;"",1+MAX($A$2:A375),"")</f>
        <v/>
      </c>
      <c r="B376" s="84"/>
      <c r="C376" s="179"/>
      <c r="D376" s="71" t="s">
        <v>48</v>
      </c>
      <c r="E376" s="180"/>
      <c r="F376" s="180"/>
      <c r="G376" s="181"/>
      <c r="H376" s="180"/>
      <c r="I376" s="180"/>
      <c r="J376" s="187"/>
      <c r="K376" s="187"/>
      <c r="L376" s="188"/>
      <c r="M376" s="189"/>
      <c r="N376" s="188"/>
      <c r="O376" s="188"/>
      <c r="P376" s="190"/>
      <c r="Q376" s="159">
        <f>SUM(Q279:Q375)</f>
        <v>295042.38639100001</v>
      </c>
      <c r="S376" s="162"/>
    </row>
    <row r="377" spans="1:36" s="27" customFormat="1">
      <c r="A377" s="83" t="str">
        <f>IF(F377&lt;&gt;"",1+MAX($A$2:A376),"")</f>
        <v/>
      </c>
      <c r="B377" s="69"/>
      <c r="C377" s="70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161"/>
      <c r="R377" s="160"/>
    </row>
    <row r="378" spans="1:36" s="30" customFormat="1">
      <c r="A378" s="74" t="str">
        <f>IF(F378&lt;&gt;"",1+MAX($A$2:A377),"")</f>
        <v/>
      </c>
      <c r="B378" s="47"/>
      <c r="C378" s="75">
        <v>28</v>
      </c>
      <c r="D378" s="49" t="s">
        <v>360</v>
      </c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177"/>
      <c r="S378" s="162"/>
    </row>
    <row r="379" spans="1:36" s="30" customFormat="1">
      <c r="A379" s="83" t="str">
        <f>IF(F379&lt;&gt;"",1+MAX($A$2:A378),"")</f>
        <v/>
      </c>
      <c r="B379" s="84"/>
      <c r="C379" s="85"/>
      <c r="D379" s="49" t="s">
        <v>361</v>
      </c>
      <c r="E379" s="61"/>
      <c r="F379" s="86"/>
      <c r="G379" s="87"/>
      <c r="H379" s="59"/>
      <c r="I379" s="131"/>
      <c r="J379" s="132"/>
      <c r="K379" s="133"/>
      <c r="L379" s="134"/>
      <c r="M379" s="134"/>
      <c r="N379" s="134"/>
      <c r="O379" s="134"/>
      <c r="P379" s="134"/>
      <c r="Q379" s="165"/>
      <c r="R379" s="167"/>
      <c r="S379" s="167"/>
      <c r="T379" s="167"/>
      <c r="U379" s="167"/>
      <c r="V379" s="167"/>
      <c r="W379" s="167"/>
      <c r="X379" s="167"/>
      <c r="Y379" s="167"/>
      <c r="Z379" s="167"/>
      <c r="AA379" s="167"/>
      <c r="AB379" s="167"/>
      <c r="AC379" s="167"/>
      <c r="AD379" s="167"/>
      <c r="AE379" s="167"/>
      <c r="AF379" s="167"/>
      <c r="AG379" s="167"/>
      <c r="AH379" s="167"/>
      <c r="AI379" s="167"/>
      <c r="AJ379" s="167"/>
    </row>
    <row r="380" spans="1:36" s="30" customFormat="1">
      <c r="A380" s="83" t="str">
        <f>IF(F380&lt;&gt;"",1+MAX($A$2:A379),"")</f>
        <v/>
      </c>
      <c r="B380" s="84"/>
      <c r="C380" s="85"/>
      <c r="D380" s="79" t="s">
        <v>283</v>
      </c>
      <c r="E380" s="61"/>
      <c r="F380" s="86"/>
      <c r="G380" s="87"/>
      <c r="H380" s="59"/>
      <c r="I380" s="131"/>
      <c r="J380" s="132"/>
      <c r="K380" s="133"/>
      <c r="L380" s="134"/>
      <c r="M380" s="134"/>
      <c r="N380" s="134"/>
      <c r="O380" s="134"/>
      <c r="P380" s="134"/>
      <c r="Q380" s="165"/>
      <c r="R380" s="167"/>
      <c r="S380" s="167"/>
      <c r="T380" s="167"/>
      <c r="U380" s="167"/>
      <c r="V380" s="167"/>
      <c r="W380" s="167"/>
      <c r="X380" s="167"/>
      <c r="Y380" s="167"/>
      <c r="Z380" s="167"/>
      <c r="AA380" s="167"/>
      <c r="AB380" s="167"/>
      <c r="AC380" s="167"/>
      <c r="AD380" s="167"/>
      <c r="AE380" s="167"/>
      <c r="AF380" s="167"/>
      <c r="AG380" s="167"/>
      <c r="AH380" s="167"/>
      <c r="AI380" s="167"/>
      <c r="AJ380" s="167"/>
    </row>
    <row r="381" spans="1:36" s="30" customFormat="1">
      <c r="A381" s="83">
        <f>IF(F381&lt;&gt;"",1+MAX($A$2:A380),"")</f>
        <v>305</v>
      </c>
      <c r="B381" s="84"/>
      <c r="C381" s="85"/>
      <c r="D381" s="58" t="s">
        <v>156</v>
      </c>
      <c r="E381" s="61">
        <v>1131.0899999999999</v>
      </c>
      <c r="F381" s="60">
        <v>0.05</v>
      </c>
      <c r="G381" s="55">
        <f t="shared" ref="G381:G385" si="321">(F381*E381)+E381</f>
        <v>1187.6445000000001</v>
      </c>
      <c r="H381" s="59" t="s">
        <v>54</v>
      </c>
      <c r="I381" s="131">
        <v>0.05</v>
      </c>
      <c r="J381" s="132">
        <f t="shared" ref="J381" si="322">+I381*G381</f>
        <v>59.382224999999998</v>
      </c>
      <c r="K381" s="133">
        <f>'LABOR SHEET'!C$3</f>
        <v>128</v>
      </c>
      <c r="L381" s="134">
        <f t="shared" ref="L381" si="323">I381*K381</f>
        <v>6.4</v>
      </c>
      <c r="M381" s="134">
        <f t="shared" ref="M381" si="324">K381*J381</f>
        <v>7600.9247999999998</v>
      </c>
      <c r="N381" s="134">
        <f>11.46/10+0.25</f>
        <v>1.3959999999999999</v>
      </c>
      <c r="O381" s="134">
        <f t="shared" ref="O381" si="325">N381*G381</f>
        <v>1657.951722</v>
      </c>
      <c r="P381" s="134">
        <f t="shared" ref="P381" si="326">(I381*K381)+N381</f>
        <v>7.7960000000000003</v>
      </c>
      <c r="Q381" s="164">
        <f t="shared" ref="Q381" si="327">P381*G381</f>
        <v>9258.8765220000005</v>
      </c>
      <c r="R381" s="167"/>
      <c r="S381" s="167"/>
      <c r="T381" s="167"/>
      <c r="U381" s="167"/>
      <c r="V381" s="167"/>
      <c r="W381" s="167"/>
      <c r="X381" s="167"/>
      <c r="Y381" s="167"/>
      <c r="Z381" s="167"/>
      <c r="AA381" s="167"/>
      <c r="AB381" s="167"/>
      <c r="AC381" s="167"/>
      <c r="AD381" s="167"/>
      <c r="AE381" s="167"/>
      <c r="AF381" s="167"/>
      <c r="AG381" s="167"/>
      <c r="AH381" s="167"/>
      <c r="AI381" s="167"/>
      <c r="AJ381" s="167"/>
    </row>
    <row r="382" spans="1:36" s="30" customFormat="1">
      <c r="A382" s="83">
        <f>IF(F382&lt;&gt;"",1+MAX($A$2:A381),"")</f>
        <v>306</v>
      </c>
      <c r="B382" s="84"/>
      <c r="C382" s="85"/>
      <c r="D382" s="58" t="s">
        <v>157</v>
      </c>
      <c r="E382" s="61">
        <v>675</v>
      </c>
      <c r="F382" s="60">
        <v>0.05</v>
      </c>
      <c r="G382" s="55">
        <f t="shared" si="321"/>
        <v>708.75</v>
      </c>
      <c r="H382" s="59" t="s">
        <v>54</v>
      </c>
      <c r="I382" s="131">
        <v>3.5000000000000003E-2</v>
      </c>
      <c r="J382" s="132">
        <f t="shared" ref="J382" si="328">+I382*G382</f>
        <v>24.806249999999999</v>
      </c>
      <c r="K382" s="133">
        <f>'LABOR SHEET'!C$3</f>
        <v>128</v>
      </c>
      <c r="L382" s="134">
        <f t="shared" ref="L382" si="329">I382*K382</f>
        <v>4.4800000000000004</v>
      </c>
      <c r="M382" s="134">
        <f t="shared" ref="M382" si="330">K382*J382</f>
        <v>3175.2</v>
      </c>
      <c r="N382" s="134">
        <f>9.68/10+0.35</f>
        <v>1.3180000000000001</v>
      </c>
      <c r="O382" s="134">
        <f t="shared" ref="O382" si="331">N382*G382</f>
        <v>934.13250000000005</v>
      </c>
      <c r="P382" s="134">
        <f t="shared" ref="P382" si="332">(I382*K382)+N382</f>
        <v>5.798</v>
      </c>
      <c r="Q382" s="164">
        <f t="shared" ref="Q382" si="333">P382*G382</f>
        <v>4109.3325000000004</v>
      </c>
      <c r="R382" s="167"/>
      <c r="S382" s="167"/>
      <c r="T382" s="167"/>
      <c r="U382" s="167"/>
      <c r="V382" s="167"/>
      <c r="W382" s="167"/>
      <c r="X382" s="167"/>
      <c r="Y382" s="167"/>
      <c r="Z382" s="167"/>
      <c r="AA382" s="167"/>
      <c r="AB382" s="167"/>
      <c r="AC382" s="167"/>
      <c r="AD382" s="167"/>
      <c r="AE382" s="167"/>
      <c r="AF382" s="167"/>
      <c r="AG382" s="167"/>
      <c r="AH382" s="167"/>
      <c r="AI382" s="167"/>
      <c r="AJ382" s="167"/>
    </row>
    <row r="383" spans="1:36" s="30" customFormat="1">
      <c r="A383" s="83" t="str">
        <f>IF(F383&lt;&gt;"",1+MAX($A$2:A382),"")</f>
        <v/>
      </c>
      <c r="B383" s="84"/>
      <c r="C383" s="85"/>
      <c r="D383" s="58"/>
      <c r="E383" s="61"/>
      <c r="F383" s="86"/>
      <c r="G383" s="87"/>
      <c r="H383" s="59"/>
      <c r="I383" s="131"/>
      <c r="J383" s="132"/>
      <c r="K383" s="133"/>
      <c r="L383" s="134"/>
      <c r="M383" s="134"/>
      <c r="N383" s="134"/>
      <c r="O383" s="134"/>
      <c r="P383" s="134"/>
      <c r="Q383" s="165"/>
      <c r="R383" s="167"/>
      <c r="S383" s="167"/>
      <c r="T383" s="167"/>
      <c r="U383" s="167"/>
      <c r="V383" s="167"/>
      <c r="W383" s="167"/>
      <c r="X383" s="167"/>
      <c r="Y383" s="167"/>
      <c r="Z383" s="167"/>
      <c r="AA383" s="167"/>
      <c r="AB383" s="167"/>
      <c r="AC383" s="167"/>
      <c r="AD383" s="167"/>
      <c r="AE383" s="167"/>
      <c r="AF383" s="167"/>
      <c r="AG383" s="167"/>
      <c r="AH383" s="167"/>
      <c r="AI383" s="167"/>
      <c r="AJ383" s="167"/>
    </row>
    <row r="384" spans="1:36" s="30" customFormat="1">
      <c r="A384" s="83" t="str">
        <f>IF(F384&lt;&gt;"",1+MAX($A$2:A383),"")</f>
        <v/>
      </c>
      <c r="B384" s="84"/>
      <c r="C384" s="85"/>
      <c r="D384" s="79" t="s">
        <v>284</v>
      </c>
      <c r="E384" s="61"/>
      <c r="F384" s="86"/>
      <c r="G384" s="87"/>
      <c r="H384" s="59"/>
      <c r="I384" s="131"/>
      <c r="J384" s="132"/>
      <c r="K384" s="133"/>
      <c r="L384" s="134"/>
      <c r="M384" s="134"/>
      <c r="N384" s="134"/>
      <c r="O384" s="134"/>
      <c r="P384" s="134"/>
      <c r="Q384" s="165"/>
      <c r="R384" s="167"/>
      <c r="S384" s="167"/>
      <c r="T384" s="167"/>
      <c r="U384" s="167"/>
      <c r="V384" s="167"/>
      <c r="W384" s="167"/>
      <c r="X384" s="167"/>
      <c r="Y384" s="167"/>
      <c r="Z384" s="167"/>
      <c r="AA384" s="167"/>
      <c r="AB384" s="167"/>
      <c r="AC384" s="167"/>
      <c r="AD384" s="167"/>
      <c r="AE384" s="167"/>
      <c r="AF384" s="167"/>
      <c r="AG384" s="167"/>
      <c r="AH384" s="167"/>
      <c r="AI384" s="167"/>
      <c r="AJ384" s="167"/>
    </row>
    <row r="385" spans="1:36" s="30" customFormat="1">
      <c r="A385" s="83">
        <f>IF(F385&lt;&gt;"",1+MAX($A$2:A384),"")</f>
        <v>307</v>
      </c>
      <c r="B385" s="84"/>
      <c r="C385" s="85"/>
      <c r="D385" s="58" t="s">
        <v>288</v>
      </c>
      <c r="E385" s="61">
        <v>5171.21</v>
      </c>
      <c r="F385" s="60">
        <v>0.05</v>
      </c>
      <c r="G385" s="55">
        <f t="shared" si="321"/>
        <v>5429.7704999999996</v>
      </c>
      <c r="H385" s="59" t="s">
        <v>54</v>
      </c>
      <c r="I385" s="131">
        <v>8.0000000000000002E-3</v>
      </c>
      <c r="J385" s="132">
        <f t="shared" ref="J385" si="334">+I385*G385</f>
        <v>43.438164</v>
      </c>
      <c r="K385" s="133">
        <f>'LABOR SHEET'!C$3</f>
        <v>128</v>
      </c>
      <c r="L385" s="134">
        <f t="shared" ref="L385" si="335">I385*K385</f>
        <v>1.024</v>
      </c>
      <c r="M385" s="134">
        <f t="shared" ref="M385" si="336">K385*J385</f>
        <v>5560.0849920000001</v>
      </c>
      <c r="N385" s="134">
        <f>7.94/15</f>
        <v>0.52933333333333299</v>
      </c>
      <c r="O385" s="134">
        <f t="shared" ref="O385" si="337">N385*G385</f>
        <v>2874.1585180000002</v>
      </c>
      <c r="P385" s="134">
        <f t="shared" ref="P385" si="338">(I385*K385)+N385</f>
        <v>1.5533333333333299</v>
      </c>
      <c r="Q385" s="164">
        <f t="shared" ref="Q385" si="339">P385*G385</f>
        <v>8434.2435100000002</v>
      </c>
      <c r="R385" s="167"/>
      <c r="S385" s="167"/>
      <c r="T385" s="167"/>
      <c r="U385" s="167"/>
      <c r="V385" s="167"/>
      <c r="W385" s="167"/>
      <c r="X385" s="167"/>
      <c r="Y385" s="167"/>
      <c r="Z385" s="167"/>
      <c r="AA385" s="167"/>
      <c r="AB385" s="167"/>
      <c r="AC385" s="167"/>
      <c r="AD385" s="167"/>
      <c r="AE385" s="167"/>
      <c r="AF385" s="167"/>
      <c r="AG385" s="167"/>
      <c r="AH385" s="167"/>
      <c r="AI385" s="167"/>
      <c r="AJ385" s="167"/>
    </row>
    <row r="386" spans="1:36" s="30" customFormat="1">
      <c r="A386" s="83" t="str">
        <f>IF(F386&lt;&gt;"",1+MAX($A$2:A385),"")</f>
        <v/>
      </c>
      <c r="B386" s="84"/>
      <c r="C386" s="85"/>
      <c r="D386" s="58"/>
      <c r="E386" s="61"/>
      <c r="F386" s="86"/>
      <c r="G386" s="87"/>
      <c r="H386" s="59"/>
      <c r="I386" s="131"/>
      <c r="J386" s="132"/>
      <c r="K386" s="133"/>
      <c r="L386" s="134"/>
      <c r="M386" s="134"/>
      <c r="N386" s="134"/>
      <c r="O386" s="134"/>
      <c r="P386" s="134"/>
      <c r="Q386" s="165"/>
      <c r="R386" s="167"/>
      <c r="S386" s="167"/>
      <c r="T386" s="167"/>
      <c r="U386" s="167"/>
      <c r="V386" s="167"/>
      <c r="W386" s="167"/>
      <c r="X386" s="167"/>
      <c r="Y386" s="167"/>
      <c r="Z386" s="167"/>
      <c r="AA386" s="167"/>
      <c r="AB386" s="167"/>
      <c r="AC386" s="167"/>
      <c r="AD386" s="167"/>
      <c r="AE386" s="167"/>
      <c r="AF386" s="167"/>
      <c r="AG386" s="167"/>
      <c r="AH386" s="167"/>
      <c r="AI386" s="167"/>
      <c r="AJ386" s="167"/>
    </row>
    <row r="387" spans="1:36" s="30" customFormat="1">
      <c r="A387" s="83" t="str">
        <f>IF(F387&lt;&gt;"",1+MAX($A$2:A386),"")</f>
        <v/>
      </c>
      <c r="B387" s="84"/>
      <c r="C387" s="85"/>
      <c r="D387" s="79" t="s">
        <v>289</v>
      </c>
      <c r="E387" s="61"/>
      <c r="F387" s="86"/>
      <c r="G387" s="87"/>
      <c r="H387" s="59"/>
      <c r="I387" s="131"/>
      <c r="J387" s="132"/>
      <c r="K387" s="133"/>
      <c r="L387" s="134"/>
      <c r="M387" s="134"/>
      <c r="N387" s="134"/>
      <c r="O387" s="134"/>
      <c r="P387" s="134"/>
      <c r="Q387" s="165"/>
      <c r="R387" s="167"/>
      <c r="S387" s="167"/>
      <c r="T387" s="167"/>
      <c r="U387" s="167"/>
      <c r="V387" s="167"/>
      <c r="W387" s="167"/>
      <c r="X387" s="167"/>
      <c r="Y387" s="167"/>
      <c r="Z387" s="167"/>
      <c r="AA387" s="167"/>
      <c r="AB387" s="167"/>
      <c r="AC387" s="167"/>
      <c r="AD387" s="167"/>
      <c r="AE387" s="167"/>
      <c r="AF387" s="167"/>
      <c r="AG387" s="167"/>
      <c r="AH387" s="167"/>
      <c r="AI387" s="167"/>
      <c r="AJ387" s="167"/>
    </row>
    <row r="388" spans="1:36" s="30" customFormat="1">
      <c r="A388" s="83">
        <f>IF(F388&lt;&gt;"",1+MAX($A$2:A387),"")</f>
        <v>308</v>
      </c>
      <c r="B388" s="84"/>
      <c r="C388" s="85"/>
      <c r="D388" s="58" t="s">
        <v>362</v>
      </c>
      <c r="E388" s="61">
        <v>23</v>
      </c>
      <c r="F388" s="60">
        <v>0</v>
      </c>
      <c r="G388" s="55">
        <f t="shared" ref="G388:G400" si="340">(F388*E388)+E388</f>
        <v>23</v>
      </c>
      <c r="H388" s="59" t="s">
        <v>71</v>
      </c>
      <c r="I388" s="131">
        <v>1.1000000000000001</v>
      </c>
      <c r="J388" s="132">
        <f t="shared" ref="J388:J400" si="341">+I388*G388</f>
        <v>25.3</v>
      </c>
      <c r="K388" s="133">
        <f>'LABOR SHEET'!C$3</f>
        <v>128</v>
      </c>
      <c r="L388" s="134">
        <f t="shared" ref="L388:L400" si="342">I388*K388</f>
        <v>140.80000000000001</v>
      </c>
      <c r="M388" s="134">
        <f t="shared" ref="M388:M400" si="343">K388*J388</f>
        <v>3238.4</v>
      </c>
      <c r="N388" s="134">
        <v>154.44999999999999</v>
      </c>
      <c r="O388" s="134">
        <f t="shared" ref="O388:O400" si="344">N388*G388</f>
        <v>3552.35</v>
      </c>
      <c r="P388" s="134">
        <f t="shared" ref="P388:P400" si="345">(I388*K388)+N388</f>
        <v>295.25</v>
      </c>
      <c r="Q388" s="164">
        <f t="shared" ref="Q388:Q400" si="346">P388*G388</f>
        <v>6790.75</v>
      </c>
      <c r="R388" s="167"/>
      <c r="S388" s="167"/>
      <c r="T388" s="167"/>
      <c r="U388" s="167"/>
      <c r="V388" s="167"/>
      <c r="W388" s="167"/>
      <c r="X388" s="167"/>
      <c r="Y388" s="167"/>
      <c r="Z388" s="167"/>
      <c r="AA388" s="167"/>
      <c r="AB388" s="167"/>
      <c r="AC388" s="167"/>
      <c r="AD388" s="167"/>
      <c r="AE388" s="167"/>
      <c r="AF388" s="167"/>
      <c r="AG388" s="167"/>
      <c r="AH388" s="167"/>
      <c r="AI388" s="167"/>
      <c r="AJ388" s="167"/>
    </row>
    <row r="389" spans="1:36" s="30" customFormat="1" ht="31.2">
      <c r="A389" s="83">
        <f>IF(F389&lt;&gt;"",1+MAX($A$2:A388),"")</f>
        <v>309</v>
      </c>
      <c r="B389" s="84"/>
      <c r="C389" s="85"/>
      <c r="D389" s="58" t="s">
        <v>363</v>
      </c>
      <c r="E389" s="61">
        <v>2</v>
      </c>
      <c r="F389" s="60">
        <v>0</v>
      </c>
      <c r="G389" s="55">
        <f t="shared" si="340"/>
        <v>2</v>
      </c>
      <c r="H389" s="59" t="s">
        <v>71</v>
      </c>
      <c r="I389" s="131">
        <v>6</v>
      </c>
      <c r="J389" s="132">
        <f t="shared" si="341"/>
        <v>12</v>
      </c>
      <c r="K389" s="133">
        <f>'LABOR SHEET'!C$3</f>
        <v>128</v>
      </c>
      <c r="L389" s="134">
        <f t="shared" si="342"/>
        <v>768</v>
      </c>
      <c r="M389" s="134">
        <f t="shared" si="343"/>
        <v>1536</v>
      </c>
      <c r="N389" s="134">
        <v>1790</v>
      </c>
      <c r="O389" s="134">
        <f t="shared" si="344"/>
        <v>3580</v>
      </c>
      <c r="P389" s="134">
        <f t="shared" si="345"/>
        <v>2558</v>
      </c>
      <c r="Q389" s="164">
        <f t="shared" si="346"/>
        <v>5116</v>
      </c>
      <c r="R389" s="167"/>
      <c r="S389" s="167"/>
      <c r="T389" s="167"/>
      <c r="U389" s="167"/>
      <c r="V389" s="167"/>
      <c r="W389" s="167"/>
      <c r="X389" s="167"/>
      <c r="Y389" s="167"/>
      <c r="Z389" s="167"/>
      <c r="AA389" s="167"/>
      <c r="AB389" s="167"/>
      <c r="AC389" s="167"/>
      <c r="AD389" s="167"/>
      <c r="AE389" s="167"/>
      <c r="AF389" s="167"/>
      <c r="AG389" s="167"/>
      <c r="AH389" s="167"/>
      <c r="AI389" s="167"/>
      <c r="AJ389" s="167"/>
    </row>
    <row r="390" spans="1:36" s="30" customFormat="1">
      <c r="A390" s="83">
        <f>IF(F390&lt;&gt;"",1+MAX($A$2:A389),"")</f>
        <v>310</v>
      </c>
      <c r="B390" s="84"/>
      <c r="C390" s="85"/>
      <c r="D390" s="58" t="s">
        <v>364</v>
      </c>
      <c r="E390" s="61">
        <v>3</v>
      </c>
      <c r="F390" s="60">
        <v>0</v>
      </c>
      <c r="G390" s="55">
        <f t="shared" si="340"/>
        <v>3</v>
      </c>
      <c r="H390" s="59" t="s">
        <v>71</v>
      </c>
      <c r="I390" s="131">
        <v>1.5</v>
      </c>
      <c r="J390" s="132">
        <f t="shared" si="341"/>
        <v>4.5</v>
      </c>
      <c r="K390" s="133">
        <f>'LABOR SHEET'!C$3</f>
        <v>128</v>
      </c>
      <c r="L390" s="134">
        <f t="shared" si="342"/>
        <v>192</v>
      </c>
      <c r="M390" s="134">
        <f t="shared" si="343"/>
        <v>576</v>
      </c>
      <c r="N390" s="134">
        <v>274.04000000000002</v>
      </c>
      <c r="O390" s="134">
        <f t="shared" si="344"/>
        <v>822.12</v>
      </c>
      <c r="P390" s="134">
        <f t="shared" si="345"/>
        <v>466.04</v>
      </c>
      <c r="Q390" s="164">
        <f t="shared" si="346"/>
        <v>1398.12</v>
      </c>
      <c r="R390" s="167"/>
      <c r="S390" s="167"/>
      <c r="T390" s="167"/>
      <c r="U390" s="167"/>
      <c r="V390" s="167"/>
      <c r="W390" s="167"/>
      <c r="X390" s="167"/>
      <c r="Y390" s="167"/>
      <c r="Z390" s="167"/>
      <c r="AA390" s="167"/>
      <c r="AB390" s="167"/>
      <c r="AC390" s="167"/>
      <c r="AD390" s="167"/>
      <c r="AE390" s="167"/>
      <c r="AF390" s="167"/>
      <c r="AG390" s="167"/>
      <c r="AH390" s="167"/>
      <c r="AI390" s="167"/>
      <c r="AJ390" s="167"/>
    </row>
    <row r="391" spans="1:36" s="30" customFormat="1">
      <c r="A391" s="83">
        <f>IF(F391&lt;&gt;"",1+MAX($A$2:A390),"")</f>
        <v>311</v>
      </c>
      <c r="B391" s="84"/>
      <c r="C391" s="85"/>
      <c r="D391" s="58" t="s">
        <v>365</v>
      </c>
      <c r="E391" s="61">
        <v>6</v>
      </c>
      <c r="F391" s="60">
        <v>0</v>
      </c>
      <c r="G391" s="55">
        <f t="shared" si="340"/>
        <v>6</v>
      </c>
      <c r="H391" s="59" t="s">
        <v>71</v>
      </c>
      <c r="I391" s="131">
        <v>2</v>
      </c>
      <c r="J391" s="132">
        <f t="shared" si="341"/>
        <v>12</v>
      </c>
      <c r="K391" s="133">
        <f>'LABOR SHEET'!C$3</f>
        <v>128</v>
      </c>
      <c r="L391" s="134">
        <f t="shared" si="342"/>
        <v>256</v>
      </c>
      <c r="M391" s="134">
        <f t="shared" si="343"/>
        <v>1536</v>
      </c>
      <c r="N391" s="134">
        <v>430</v>
      </c>
      <c r="O391" s="134">
        <f t="shared" si="344"/>
        <v>2580</v>
      </c>
      <c r="P391" s="134">
        <f t="shared" si="345"/>
        <v>686</v>
      </c>
      <c r="Q391" s="164">
        <f t="shared" si="346"/>
        <v>4116</v>
      </c>
      <c r="R391" s="167"/>
      <c r="S391" s="167"/>
      <c r="T391" s="167"/>
      <c r="U391" s="167"/>
      <c r="V391" s="167"/>
      <c r="W391" s="167"/>
      <c r="X391" s="167"/>
      <c r="Y391" s="167"/>
      <c r="Z391" s="167"/>
      <c r="AA391" s="167"/>
      <c r="AB391" s="167"/>
      <c r="AC391" s="167"/>
      <c r="AD391" s="167"/>
      <c r="AE391" s="167"/>
      <c r="AF391" s="167"/>
      <c r="AG391" s="167"/>
      <c r="AH391" s="167"/>
      <c r="AI391" s="167"/>
      <c r="AJ391" s="167"/>
    </row>
    <row r="392" spans="1:36" s="30" customFormat="1" ht="31.2">
      <c r="A392" s="83">
        <f>IF(F392&lt;&gt;"",1+MAX($A$2:A391),"")</f>
        <v>312</v>
      </c>
      <c r="B392" s="84"/>
      <c r="C392" s="85"/>
      <c r="D392" s="58" t="s">
        <v>366</v>
      </c>
      <c r="E392" s="61">
        <v>18</v>
      </c>
      <c r="F392" s="60">
        <v>0</v>
      </c>
      <c r="G392" s="55">
        <f t="shared" si="340"/>
        <v>18</v>
      </c>
      <c r="H392" s="59" t="s">
        <v>71</v>
      </c>
      <c r="I392" s="131">
        <v>1.5</v>
      </c>
      <c r="J392" s="132">
        <f t="shared" si="341"/>
        <v>27</v>
      </c>
      <c r="K392" s="133">
        <f>'LABOR SHEET'!C$3</f>
        <v>128</v>
      </c>
      <c r="L392" s="134">
        <f t="shared" si="342"/>
        <v>192</v>
      </c>
      <c r="M392" s="134">
        <f t="shared" si="343"/>
        <v>3456</v>
      </c>
      <c r="N392" s="134">
        <v>259.89999999999998</v>
      </c>
      <c r="O392" s="134">
        <f t="shared" si="344"/>
        <v>4678.2</v>
      </c>
      <c r="P392" s="134">
        <f t="shared" si="345"/>
        <v>451.9</v>
      </c>
      <c r="Q392" s="164">
        <f t="shared" si="346"/>
        <v>8134.2</v>
      </c>
      <c r="R392" s="167"/>
      <c r="S392" s="167"/>
      <c r="T392" s="167"/>
      <c r="U392" s="167"/>
      <c r="V392" s="167"/>
      <c r="W392" s="167"/>
      <c r="X392" s="167"/>
      <c r="Y392" s="167"/>
      <c r="Z392" s="167"/>
      <c r="AA392" s="167"/>
      <c r="AB392" s="167"/>
      <c r="AC392" s="167"/>
      <c r="AD392" s="167"/>
      <c r="AE392" s="167"/>
      <c r="AF392" s="167"/>
      <c r="AG392" s="167"/>
      <c r="AH392" s="167"/>
      <c r="AI392" s="167"/>
      <c r="AJ392" s="167"/>
    </row>
    <row r="393" spans="1:36" s="30" customFormat="1" ht="31.2">
      <c r="A393" s="83">
        <f>IF(F393&lt;&gt;"",1+MAX($A$2:A392),"")</f>
        <v>313</v>
      </c>
      <c r="B393" s="84"/>
      <c r="C393" s="85"/>
      <c r="D393" s="58" t="s">
        <v>367</v>
      </c>
      <c r="E393" s="61">
        <v>2</v>
      </c>
      <c r="F393" s="60">
        <v>0</v>
      </c>
      <c r="G393" s="55">
        <f t="shared" si="340"/>
        <v>2</v>
      </c>
      <c r="H393" s="59" t="s">
        <v>71</v>
      </c>
      <c r="I393" s="131">
        <v>0.55000000000000004</v>
      </c>
      <c r="J393" s="132">
        <f t="shared" si="341"/>
        <v>1.1000000000000001</v>
      </c>
      <c r="K393" s="133">
        <f>'LABOR SHEET'!C$3</f>
        <v>128</v>
      </c>
      <c r="L393" s="134">
        <f t="shared" si="342"/>
        <v>70.400000000000006</v>
      </c>
      <c r="M393" s="134">
        <f t="shared" si="343"/>
        <v>140.80000000000001</v>
      </c>
      <c r="N393" s="134">
        <v>55</v>
      </c>
      <c r="O393" s="134">
        <f t="shared" si="344"/>
        <v>110</v>
      </c>
      <c r="P393" s="134">
        <f t="shared" si="345"/>
        <v>125.4</v>
      </c>
      <c r="Q393" s="164">
        <f t="shared" si="346"/>
        <v>250.8</v>
      </c>
      <c r="R393" s="167"/>
      <c r="S393" s="167"/>
      <c r="T393" s="167"/>
      <c r="U393" s="167"/>
      <c r="V393" s="167"/>
      <c r="W393" s="167"/>
      <c r="X393" s="167"/>
      <c r="Y393" s="167"/>
      <c r="Z393" s="167"/>
      <c r="AA393" s="167"/>
      <c r="AB393" s="167"/>
      <c r="AC393" s="167"/>
      <c r="AD393" s="167"/>
      <c r="AE393" s="167"/>
      <c r="AF393" s="167"/>
      <c r="AG393" s="167"/>
      <c r="AH393" s="167"/>
      <c r="AI393" s="167"/>
      <c r="AJ393" s="167"/>
    </row>
    <row r="394" spans="1:36" s="30" customFormat="1">
      <c r="A394" s="83">
        <f>IF(F394&lt;&gt;"",1+MAX($A$2:A393),"")</f>
        <v>314</v>
      </c>
      <c r="B394" s="84"/>
      <c r="C394" s="85"/>
      <c r="D394" s="58" t="s">
        <v>368</v>
      </c>
      <c r="E394" s="61">
        <v>4</v>
      </c>
      <c r="F394" s="60">
        <v>0</v>
      </c>
      <c r="G394" s="55">
        <f t="shared" si="340"/>
        <v>4</v>
      </c>
      <c r="H394" s="59" t="s">
        <v>71</v>
      </c>
      <c r="I394" s="131">
        <v>1</v>
      </c>
      <c r="J394" s="132">
        <f t="shared" si="341"/>
        <v>4</v>
      </c>
      <c r="K394" s="133">
        <f>'LABOR SHEET'!C$3</f>
        <v>128</v>
      </c>
      <c r="L394" s="134">
        <f t="shared" si="342"/>
        <v>128</v>
      </c>
      <c r="M394" s="134">
        <f t="shared" si="343"/>
        <v>512</v>
      </c>
      <c r="N394" s="134">
        <v>229</v>
      </c>
      <c r="O394" s="134">
        <f t="shared" si="344"/>
        <v>916</v>
      </c>
      <c r="P394" s="134">
        <f t="shared" si="345"/>
        <v>357</v>
      </c>
      <c r="Q394" s="164">
        <f t="shared" si="346"/>
        <v>1428</v>
      </c>
      <c r="R394" s="167"/>
      <c r="S394" s="167"/>
      <c r="T394" s="167"/>
      <c r="U394" s="167"/>
      <c r="V394" s="167"/>
      <c r="W394" s="167"/>
      <c r="X394" s="167"/>
      <c r="Y394" s="167"/>
      <c r="Z394" s="167"/>
      <c r="AA394" s="167"/>
      <c r="AB394" s="167"/>
      <c r="AC394" s="167"/>
      <c r="AD394" s="167"/>
      <c r="AE394" s="167"/>
      <c r="AF394" s="167"/>
      <c r="AG394" s="167"/>
      <c r="AH394" s="167"/>
      <c r="AI394" s="167"/>
      <c r="AJ394" s="167"/>
    </row>
    <row r="395" spans="1:36" s="30" customFormat="1">
      <c r="A395" s="83">
        <f>IF(F395&lt;&gt;"",1+MAX($A$2:A394),"")</f>
        <v>315</v>
      </c>
      <c r="B395" s="84"/>
      <c r="C395" s="85"/>
      <c r="D395" s="58" t="s">
        <v>369</v>
      </c>
      <c r="E395" s="61">
        <v>4</v>
      </c>
      <c r="F395" s="60">
        <v>0</v>
      </c>
      <c r="G395" s="55">
        <f t="shared" si="340"/>
        <v>4</v>
      </c>
      <c r="H395" s="59" t="s">
        <v>71</v>
      </c>
      <c r="I395" s="131">
        <v>3</v>
      </c>
      <c r="J395" s="132">
        <f t="shared" si="341"/>
        <v>12</v>
      </c>
      <c r="K395" s="133">
        <f>'LABOR SHEET'!C$3</f>
        <v>128</v>
      </c>
      <c r="L395" s="134">
        <f t="shared" si="342"/>
        <v>384</v>
      </c>
      <c r="M395" s="134">
        <f t="shared" si="343"/>
        <v>1536</v>
      </c>
      <c r="N395" s="134">
        <v>607.99</v>
      </c>
      <c r="O395" s="134">
        <f t="shared" si="344"/>
        <v>2431.96</v>
      </c>
      <c r="P395" s="134">
        <f t="shared" si="345"/>
        <v>991.99</v>
      </c>
      <c r="Q395" s="164">
        <f t="shared" si="346"/>
        <v>3967.96</v>
      </c>
      <c r="R395" s="167"/>
      <c r="S395" s="167"/>
      <c r="T395" s="167"/>
      <c r="U395" s="167"/>
      <c r="V395" s="167"/>
      <c r="W395" s="167"/>
      <c r="X395" s="167"/>
      <c r="Y395" s="167"/>
      <c r="Z395" s="167"/>
      <c r="AA395" s="167"/>
      <c r="AB395" s="167"/>
      <c r="AC395" s="167"/>
      <c r="AD395" s="167"/>
      <c r="AE395" s="167"/>
      <c r="AF395" s="167"/>
      <c r="AG395" s="167"/>
      <c r="AH395" s="167"/>
      <c r="AI395" s="167"/>
      <c r="AJ395" s="167"/>
    </row>
    <row r="396" spans="1:36" s="30" customFormat="1">
      <c r="A396" s="83">
        <f>IF(F396&lt;&gt;"",1+MAX($A$2:A395),"")</f>
        <v>316</v>
      </c>
      <c r="B396" s="84"/>
      <c r="C396" s="85"/>
      <c r="D396" s="58" t="s">
        <v>370</v>
      </c>
      <c r="E396" s="61">
        <v>3</v>
      </c>
      <c r="F396" s="60">
        <v>0</v>
      </c>
      <c r="G396" s="55">
        <f t="shared" si="340"/>
        <v>3</v>
      </c>
      <c r="H396" s="59" t="s">
        <v>71</v>
      </c>
      <c r="I396" s="131">
        <v>1.1000000000000001</v>
      </c>
      <c r="J396" s="132">
        <f t="shared" si="341"/>
        <v>3.3</v>
      </c>
      <c r="K396" s="133">
        <f>'LABOR SHEET'!C$3</f>
        <v>128</v>
      </c>
      <c r="L396" s="134">
        <f t="shared" si="342"/>
        <v>140.80000000000001</v>
      </c>
      <c r="M396" s="134">
        <f t="shared" si="343"/>
        <v>422.4</v>
      </c>
      <c r="N396" s="134">
        <v>170</v>
      </c>
      <c r="O396" s="134">
        <f t="shared" si="344"/>
        <v>510</v>
      </c>
      <c r="P396" s="134">
        <f t="shared" si="345"/>
        <v>310.8</v>
      </c>
      <c r="Q396" s="164">
        <f t="shared" si="346"/>
        <v>932.4</v>
      </c>
      <c r="R396" s="167"/>
      <c r="S396" s="167"/>
      <c r="T396" s="167"/>
      <c r="U396" s="167"/>
      <c r="V396" s="167"/>
      <c r="W396" s="167"/>
      <c r="X396" s="167"/>
      <c r="Y396" s="167"/>
      <c r="Z396" s="167"/>
      <c r="AA396" s="167"/>
      <c r="AB396" s="167"/>
      <c r="AC396" s="167"/>
      <c r="AD396" s="167"/>
      <c r="AE396" s="167"/>
      <c r="AF396" s="167"/>
      <c r="AG396" s="167"/>
      <c r="AH396" s="167"/>
      <c r="AI396" s="167"/>
      <c r="AJ396" s="167"/>
    </row>
    <row r="397" spans="1:36" s="30" customFormat="1" ht="31.2">
      <c r="A397" s="83">
        <f>IF(F397&lt;&gt;"",1+MAX($A$2:A396),"")</f>
        <v>317</v>
      </c>
      <c r="B397" s="84"/>
      <c r="C397" s="85"/>
      <c r="D397" s="58" t="s">
        <v>371</v>
      </c>
      <c r="E397" s="61">
        <v>4</v>
      </c>
      <c r="F397" s="60">
        <v>0</v>
      </c>
      <c r="G397" s="55">
        <f t="shared" si="340"/>
        <v>4</v>
      </c>
      <c r="H397" s="59" t="s">
        <v>71</v>
      </c>
      <c r="I397" s="131">
        <v>3.5</v>
      </c>
      <c r="J397" s="132">
        <f t="shared" si="341"/>
        <v>14</v>
      </c>
      <c r="K397" s="133">
        <f>'LABOR SHEET'!C$3</f>
        <v>128</v>
      </c>
      <c r="L397" s="134">
        <f t="shared" si="342"/>
        <v>448</v>
      </c>
      <c r="M397" s="134">
        <f t="shared" si="343"/>
        <v>1792</v>
      </c>
      <c r="N397" s="134">
        <v>699</v>
      </c>
      <c r="O397" s="134">
        <f t="shared" si="344"/>
        <v>2796</v>
      </c>
      <c r="P397" s="134">
        <f t="shared" si="345"/>
        <v>1147</v>
      </c>
      <c r="Q397" s="164">
        <f t="shared" si="346"/>
        <v>4588</v>
      </c>
      <c r="R397" s="167"/>
      <c r="S397" s="167"/>
      <c r="T397" s="167"/>
      <c r="U397" s="167"/>
      <c r="V397" s="167"/>
      <c r="W397" s="167"/>
      <c r="X397" s="167"/>
      <c r="Y397" s="167"/>
      <c r="Z397" s="167"/>
      <c r="AA397" s="167"/>
      <c r="AB397" s="167"/>
      <c r="AC397" s="167"/>
      <c r="AD397" s="167"/>
      <c r="AE397" s="167"/>
      <c r="AF397" s="167"/>
      <c r="AG397" s="167"/>
      <c r="AH397" s="167"/>
      <c r="AI397" s="167"/>
      <c r="AJ397" s="167"/>
    </row>
    <row r="398" spans="1:36" s="30" customFormat="1" ht="31.2">
      <c r="A398" s="83">
        <f>IF(F398&lt;&gt;"",1+MAX($A$2:A397),"")</f>
        <v>318</v>
      </c>
      <c r="B398" s="84"/>
      <c r="C398" s="85"/>
      <c r="D398" s="58" t="s">
        <v>372</v>
      </c>
      <c r="E398" s="61">
        <v>1</v>
      </c>
      <c r="F398" s="60">
        <v>0</v>
      </c>
      <c r="G398" s="55">
        <f t="shared" si="340"/>
        <v>1</v>
      </c>
      <c r="H398" s="59" t="s">
        <v>71</v>
      </c>
      <c r="I398" s="131">
        <v>7</v>
      </c>
      <c r="J398" s="132">
        <f t="shared" si="341"/>
        <v>7</v>
      </c>
      <c r="K398" s="133">
        <f>'LABOR SHEET'!C$3</f>
        <v>128</v>
      </c>
      <c r="L398" s="134">
        <f t="shared" si="342"/>
        <v>896</v>
      </c>
      <c r="M398" s="134">
        <f t="shared" si="343"/>
        <v>896</v>
      </c>
      <c r="N398" s="134">
        <v>1835</v>
      </c>
      <c r="O398" s="134">
        <f t="shared" si="344"/>
        <v>1835</v>
      </c>
      <c r="P398" s="134">
        <f t="shared" si="345"/>
        <v>2731</v>
      </c>
      <c r="Q398" s="164">
        <f t="shared" si="346"/>
        <v>2731</v>
      </c>
      <c r="R398" s="167"/>
      <c r="S398" s="167"/>
      <c r="T398" s="167"/>
      <c r="U398" s="167"/>
      <c r="V398" s="167"/>
      <c r="W398" s="167"/>
      <c r="X398" s="167"/>
      <c r="Y398" s="167"/>
      <c r="Z398" s="167"/>
      <c r="AA398" s="167"/>
      <c r="AB398" s="167"/>
      <c r="AC398" s="167"/>
      <c r="AD398" s="167"/>
      <c r="AE398" s="167"/>
      <c r="AF398" s="167"/>
      <c r="AG398" s="167"/>
      <c r="AH398" s="167"/>
      <c r="AI398" s="167"/>
      <c r="AJ398" s="167"/>
    </row>
    <row r="399" spans="1:36" s="30" customFormat="1">
      <c r="A399" s="83">
        <f>IF(F399&lt;&gt;"",1+MAX($A$2:A398),"")</f>
        <v>319</v>
      </c>
      <c r="B399" s="84"/>
      <c r="C399" s="85"/>
      <c r="D399" s="58" t="s">
        <v>324</v>
      </c>
      <c r="E399" s="61">
        <v>31</v>
      </c>
      <c r="F399" s="60">
        <v>0</v>
      </c>
      <c r="G399" s="55">
        <f t="shared" si="340"/>
        <v>31</v>
      </c>
      <c r="H399" s="59" t="s">
        <v>71</v>
      </c>
      <c r="I399" s="131">
        <v>0.2</v>
      </c>
      <c r="J399" s="132">
        <f t="shared" si="341"/>
        <v>6.2</v>
      </c>
      <c r="K399" s="133">
        <f>'LABOR SHEET'!C$3</f>
        <v>128</v>
      </c>
      <c r="L399" s="134">
        <f t="shared" si="342"/>
        <v>25.6</v>
      </c>
      <c r="M399" s="134">
        <f t="shared" si="343"/>
        <v>793.6</v>
      </c>
      <c r="N399" s="134">
        <v>13.35</v>
      </c>
      <c r="O399" s="134">
        <f t="shared" si="344"/>
        <v>413.85</v>
      </c>
      <c r="P399" s="134">
        <f t="shared" si="345"/>
        <v>38.950000000000003</v>
      </c>
      <c r="Q399" s="164">
        <f t="shared" si="346"/>
        <v>1207.45</v>
      </c>
      <c r="R399" s="167"/>
      <c r="S399" s="167"/>
      <c r="T399" s="167"/>
      <c r="U399" s="167"/>
      <c r="V399" s="167"/>
      <c r="W399" s="167"/>
      <c r="X399" s="167"/>
      <c r="Y399" s="167"/>
      <c r="Z399" s="167"/>
      <c r="AA399" s="167"/>
      <c r="AB399" s="167"/>
      <c r="AC399" s="167"/>
      <c r="AD399" s="167"/>
      <c r="AE399" s="167"/>
      <c r="AF399" s="167"/>
      <c r="AG399" s="167"/>
      <c r="AH399" s="167"/>
      <c r="AI399" s="167"/>
      <c r="AJ399" s="167"/>
    </row>
    <row r="400" spans="1:36" s="30" customFormat="1">
      <c r="A400" s="83">
        <f>IF(F400&lt;&gt;"",1+MAX($A$2:A399),"")</f>
        <v>320</v>
      </c>
      <c r="B400" s="84"/>
      <c r="C400" s="85"/>
      <c r="D400" s="58" t="s">
        <v>373</v>
      </c>
      <c r="E400" s="61">
        <v>10</v>
      </c>
      <c r="F400" s="60">
        <v>0</v>
      </c>
      <c r="G400" s="55">
        <f t="shared" si="340"/>
        <v>10</v>
      </c>
      <c r="H400" s="59" t="s">
        <v>71</v>
      </c>
      <c r="I400" s="131">
        <v>0.25</v>
      </c>
      <c r="J400" s="132">
        <f t="shared" si="341"/>
        <v>2.5</v>
      </c>
      <c r="K400" s="133">
        <f>'LABOR SHEET'!C$3</f>
        <v>128</v>
      </c>
      <c r="L400" s="134">
        <f t="shared" si="342"/>
        <v>32</v>
      </c>
      <c r="M400" s="134">
        <f t="shared" si="343"/>
        <v>320</v>
      </c>
      <c r="N400" s="134">
        <v>20</v>
      </c>
      <c r="O400" s="134">
        <f t="shared" si="344"/>
        <v>200</v>
      </c>
      <c r="P400" s="134">
        <f t="shared" si="345"/>
        <v>52</v>
      </c>
      <c r="Q400" s="164">
        <f t="shared" si="346"/>
        <v>520</v>
      </c>
      <c r="R400" s="167"/>
      <c r="S400" s="167"/>
      <c r="T400" s="167"/>
      <c r="U400" s="167"/>
      <c r="V400" s="167"/>
      <c r="W400" s="167"/>
      <c r="X400" s="167"/>
      <c r="Y400" s="167"/>
      <c r="Z400" s="167"/>
      <c r="AA400" s="167"/>
      <c r="AB400" s="167"/>
      <c r="AC400" s="167"/>
      <c r="AD400" s="167"/>
      <c r="AE400" s="167"/>
      <c r="AF400" s="167"/>
      <c r="AG400" s="167"/>
      <c r="AH400" s="167"/>
      <c r="AI400" s="167"/>
      <c r="AJ400" s="167"/>
    </row>
    <row r="401" spans="1:36" s="30" customFormat="1">
      <c r="A401" s="83" t="str">
        <f>IF(F401&lt;&gt;"",1+MAX($A$2:A400),"")</f>
        <v/>
      </c>
      <c r="B401" s="84"/>
      <c r="C401" s="85"/>
      <c r="D401" s="58"/>
      <c r="E401" s="61"/>
      <c r="F401" s="86"/>
      <c r="G401" s="87"/>
      <c r="H401" s="59"/>
      <c r="I401" s="131"/>
      <c r="J401" s="132"/>
      <c r="K401" s="133"/>
      <c r="L401" s="134"/>
      <c r="M401" s="134"/>
      <c r="N401" s="134"/>
      <c r="O401" s="134"/>
      <c r="P401" s="134"/>
      <c r="Q401" s="165"/>
      <c r="R401" s="167"/>
      <c r="S401" s="167"/>
      <c r="T401" s="167"/>
      <c r="U401" s="167"/>
      <c r="V401" s="167"/>
      <c r="W401" s="167"/>
      <c r="X401" s="167"/>
      <c r="Y401" s="167"/>
      <c r="Z401" s="167"/>
      <c r="AA401" s="167"/>
      <c r="AB401" s="167"/>
      <c r="AC401" s="167"/>
      <c r="AD401" s="167"/>
      <c r="AE401" s="167"/>
      <c r="AF401" s="167"/>
      <c r="AG401" s="167"/>
      <c r="AH401" s="167"/>
      <c r="AI401" s="167"/>
      <c r="AJ401" s="167"/>
    </row>
    <row r="402" spans="1:36" s="30" customFormat="1">
      <c r="A402" s="83" t="str">
        <f>IF(F402&lt;&gt;"",1+MAX($A$2:A401),"")</f>
        <v/>
      </c>
      <c r="B402" s="84"/>
      <c r="C402" s="85"/>
      <c r="D402" s="49" t="s">
        <v>374</v>
      </c>
      <c r="E402" s="61"/>
      <c r="F402" s="86"/>
      <c r="G402" s="87"/>
      <c r="H402" s="59"/>
      <c r="I402" s="131"/>
      <c r="J402" s="132"/>
      <c r="K402" s="133"/>
      <c r="L402" s="134"/>
      <c r="M402" s="134"/>
      <c r="N402" s="134"/>
      <c r="O402" s="134"/>
      <c r="P402" s="134"/>
      <c r="Q402" s="165"/>
      <c r="R402" s="167"/>
      <c r="S402" s="167"/>
      <c r="T402" s="167"/>
      <c r="U402" s="167"/>
      <c r="V402" s="167"/>
      <c r="W402" s="167"/>
      <c r="X402" s="167"/>
      <c r="Y402" s="167"/>
      <c r="Z402" s="167"/>
      <c r="AA402" s="167"/>
      <c r="AB402" s="167"/>
      <c r="AC402" s="167"/>
      <c r="AD402" s="167"/>
      <c r="AE402" s="167"/>
      <c r="AF402" s="167"/>
      <c r="AG402" s="167"/>
      <c r="AH402" s="167"/>
      <c r="AI402" s="167"/>
      <c r="AJ402" s="167"/>
    </row>
    <row r="403" spans="1:36" s="30" customFormat="1">
      <c r="A403" s="83" t="str">
        <f>IF(F403&lt;&gt;"",1+MAX($A$2:A402),"")</f>
        <v/>
      </c>
      <c r="B403" s="84"/>
      <c r="C403" s="85"/>
      <c r="D403" s="79" t="s">
        <v>283</v>
      </c>
      <c r="E403" s="61"/>
      <c r="F403" s="86"/>
      <c r="G403" s="87"/>
      <c r="H403" s="59"/>
      <c r="I403" s="131"/>
      <c r="J403" s="132"/>
      <c r="K403" s="133"/>
      <c r="L403" s="134"/>
      <c r="M403" s="134"/>
      <c r="N403" s="134"/>
      <c r="O403" s="134"/>
      <c r="P403" s="134"/>
      <c r="Q403" s="165"/>
      <c r="R403" s="167"/>
      <c r="S403" s="167"/>
      <c r="T403" s="167"/>
      <c r="U403" s="167"/>
      <c r="V403" s="167"/>
      <c r="W403" s="167"/>
      <c r="X403" s="167"/>
      <c r="Y403" s="167"/>
      <c r="Z403" s="167"/>
      <c r="AA403" s="167"/>
      <c r="AB403" s="167"/>
      <c r="AC403" s="167"/>
      <c r="AD403" s="167"/>
      <c r="AE403" s="167"/>
      <c r="AF403" s="167"/>
      <c r="AG403" s="167"/>
      <c r="AH403" s="167"/>
      <c r="AI403" s="167"/>
      <c r="AJ403" s="167"/>
    </row>
    <row r="404" spans="1:36" s="30" customFormat="1">
      <c r="A404" s="83">
        <f>IF(F404&lt;&gt;"",1+MAX($A$2:A403),"")</f>
        <v>321</v>
      </c>
      <c r="B404" s="84"/>
      <c r="C404" s="85"/>
      <c r="D404" s="58" t="s">
        <v>57</v>
      </c>
      <c r="E404" s="61">
        <v>154.15</v>
      </c>
      <c r="F404" s="60">
        <v>0.05</v>
      </c>
      <c r="G404" s="55">
        <f t="shared" ref="G404:G407" si="347">(F404*E404)+E404</f>
        <v>161.85749999999999</v>
      </c>
      <c r="H404" s="59" t="s">
        <v>54</v>
      </c>
      <c r="I404" s="131">
        <v>0.11</v>
      </c>
      <c r="J404" s="132">
        <f t="shared" ref="J404" si="348">+I404*G404</f>
        <v>17.804324999999999</v>
      </c>
      <c r="K404" s="133">
        <f>'LABOR SHEET'!C$3</f>
        <v>128</v>
      </c>
      <c r="L404" s="134">
        <f t="shared" ref="L404" si="349">I404*K404</f>
        <v>14.08</v>
      </c>
      <c r="M404" s="134">
        <f t="shared" ref="M404" si="350">K404*J404</f>
        <v>2278.9535999999998</v>
      </c>
      <c r="N404" s="134">
        <f>40.48/10+0.55</f>
        <v>4.5979999999999999</v>
      </c>
      <c r="O404" s="134">
        <f t="shared" ref="O404" si="351">N404*G404</f>
        <v>744.22078499999998</v>
      </c>
      <c r="P404" s="134">
        <f t="shared" ref="P404" si="352">(I404*K404)+N404</f>
        <v>18.678000000000001</v>
      </c>
      <c r="Q404" s="164">
        <f t="shared" ref="Q404" si="353">P404*G404</f>
        <v>3023.1743849999998</v>
      </c>
      <c r="R404" s="167"/>
      <c r="S404" s="167"/>
      <c r="T404" s="167"/>
      <c r="U404" s="167"/>
      <c r="V404" s="167"/>
      <c r="W404" s="167"/>
      <c r="X404" s="167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  <c r="AI404" s="167"/>
      <c r="AJ404" s="167"/>
    </row>
    <row r="405" spans="1:36" s="30" customFormat="1">
      <c r="A405" s="83">
        <f>IF(F405&lt;&gt;"",1+MAX($A$2:A404),"")</f>
        <v>322</v>
      </c>
      <c r="B405" s="84"/>
      <c r="C405" s="85"/>
      <c r="D405" s="58" t="s">
        <v>162</v>
      </c>
      <c r="E405" s="61">
        <v>46.56</v>
      </c>
      <c r="F405" s="60">
        <v>0.05</v>
      </c>
      <c r="G405" s="55">
        <f t="shared" si="347"/>
        <v>48.887999999999998</v>
      </c>
      <c r="H405" s="59" t="s">
        <v>54</v>
      </c>
      <c r="I405" s="131">
        <v>7.0000000000000007E-2</v>
      </c>
      <c r="J405" s="132">
        <f t="shared" ref="J405:J407" si="354">+I405*G405</f>
        <v>3.4221599999999999</v>
      </c>
      <c r="K405" s="133">
        <f>'LABOR SHEET'!C$3</f>
        <v>128</v>
      </c>
      <c r="L405" s="134">
        <f t="shared" ref="L405:L407" si="355">I405*K405</f>
        <v>8.9600000000000009</v>
      </c>
      <c r="M405" s="134">
        <f t="shared" ref="M405:M407" si="356">K405*J405</f>
        <v>438.03647999999998</v>
      </c>
      <c r="N405" s="134">
        <f>28.95/10+0.4</f>
        <v>3.2949999999999999</v>
      </c>
      <c r="O405" s="134">
        <f t="shared" ref="O405:O407" si="357">N405*G405</f>
        <v>161.08596</v>
      </c>
      <c r="P405" s="134">
        <f t="shared" ref="P405:P407" si="358">(I405*K405)+N405</f>
        <v>12.255000000000001</v>
      </c>
      <c r="Q405" s="164">
        <f t="shared" ref="Q405:Q407" si="359">P405*G405</f>
        <v>599.12243999999998</v>
      </c>
      <c r="R405" s="167"/>
      <c r="S405" s="167"/>
      <c r="T405" s="167"/>
      <c r="U405" s="167"/>
      <c r="V405" s="167"/>
      <c r="W405" s="167"/>
      <c r="X405" s="167"/>
      <c r="Y405" s="167"/>
      <c r="Z405" s="167"/>
      <c r="AA405" s="167"/>
      <c r="AB405" s="167"/>
      <c r="AC405" s="167"/>
      <c r="AD405" s="167"/>
      <c r="AE405" s="167"/>
      <c r="AF405" s="167"/>
      <c r="AG405" s="167"/>
      <c r="AH405" s="167"/>
      <c r="AI405" s="167"/>
      <c r="AJ405" s="167"/>
    </row>
    <row r="406" spans="1:36" s="30" customFormat="1">
      <c r="A406" s="83">
        <f>IF(F406&lt;&gt;"",1+MAX($A$2:A405),"")</f>
        <v>323</v>
      </c>
      <c r="B406" s="84"/>
      <c r="C406" s="85"/>
      <c r="D406" s="58" t="s">
        <v>166</v>
      </c>
      <c r="E406" s="61">
        <v>1633.16</v>
      </c>
      <c r="F406" s="60">
        <v>0.05</v>
      </c>
      <c r="G406" s="55">
        <f t="shared" si="347"/>
        <v>1714.818</v>
      </c>
      <c r="H406" s="59" t="s">
        <v>54</v>
      </c>
      <c r="I406" s="131">
        <v>6.4000000000000001E-2</v>
      </c>
      <c r="J406" s="132">
        <f t="shared" si="354"/>
        <v>109.748352</v>
      </c>
      <c r="K406" s="133">
        <f>'LABOR SHEET'!C$3</f>
        <v>128</v>
      </c>
      <c r="L406" s="134">
        <f t="shared" si="355"/>
        <v>8.1920000000000002</v>
      </c>
      <c r="M406" s="134">
        <f t="shared" si="356"/>
        <v>14047.789056</v>
      </c>
      <c r="N406" s="134">
        <f>17.58/10+0.4</f>
        <v>2.1579999999999999</v>
      </c>
      <c r="O406" s="134">
        <f t="shared" si="357"/>
        <v>3700.5772440000001</v>
      </c>
      <c r="P406" s="134">
        <f t="shared" si="358"/>
        <v>10.35</v>
      </c>
      <c r="Q406" s="164">
        <f t="shared" si="359"/>
        <v>17748.366300000002</v>
      </c>
      <c r="R406" s="167"/>
      <c r="S406" s="167"/>
      <c r="T406" s="167"/>
      <c r="U406" s="167"/>
      <c r="V406" s="167"/>
      <c r="W406" s="167"/>
      <c r="X406" s="167"/>
      <c r="Y406" s="167"/>
      <c r="Z406" s="167"/>
      <c r="AA406" s="167"/>
      <c r="AB406" s="167"/>
      <c r="AC406" s="167"/>
      <c r="AD406" s="167"/>
      <c r="AE406" s="167"/>
      <c r="AF406" s="167"/>
      <c r="AG406" s="167"/>
      <c r="AH406" s="167"/>
      <c r="AI406" s="167"/>
      <c r="AJ406" s="167"/>
    </row>
    <row r="407" spans="1:36" s="30" customFormat="1">
      <c r="A407" s="83">
        <f>IF(F407&lt;&gt;"",1+MAX($A$2:A406),"")</f>
        <v>324</v>
      </c>
      <c r="B407" s="84"/>
      <c r="C407" s="85"/>
      <c r="D407" s="58" t="s">
        <v>156</v>
      </c>
      <c r="E407" s="61">
        <v>44.03</v>
      </c>
      <c r="F407" s="60">
        <v>0.05</v>
      </c>
      <c r="G407" s="55">
        <f t="shared" si="347"/>
        <v>46.231499999999997</v>
      </c>
      <c r="H407" s="59" t="s">
        <v>54</v>
      </c>
      <c r="I407" s="131">
        <v>0.05</v>
      </c>
      <c r="J407" s="132">
        <f t="shared" si="354"/>
        <v>2.3115749999999999</v>
      </c>
      <c r="K407" s="133">
        <f>'LABOR SHEET'!C$3</f>
        <v>128</v>
      </c>
      <c r="L407" s="134">
        <f t="shared" si="355"/>
        <v>6.4</v>
      </c>
      <c r="M407" s="134">
        <f t="shared" si="356"/>
        <v>295.88159999999999</v>
      </c>
      <c r="N407" s="134">
        <f>11.46/10+0.25</f>
        <v>1.3959999999999999</v>
      </c>
      <c r="O407" s="134">
        <f t="shared" si="357"/>
        <v>64.539174000000003</v>
      </c>
      <c r="P407" s="134">
        <f t="shared" si="358"/>
        <v>7.7960000000000003</v>
      </c>
      <c r="Q407" s="164">
        <f t="shared" si="359"/>
        <v>360.42077399999999</v>
      </c>
      <c r="R407" s="167"/>
      <c r="S407" s="167"/>
      <c r="T407" s="167"/>
      <c r="U407" s="167"/>
      <c r="V407" s="167"/>
      <c r="W407" s="167"/>
      <c r="X407" s="167"/>
      <c r="Y407" s="167"/>
      <c r="Z407" s="167"/>
      <c r="AA407" s="167"/>
      <c r="AB407" s="167"/>
      <c r="AC407" s="167"/>
      <c r="AD407" s="167"/>
      <c r="AE407" s="167"/>
      <c r="AF407" s="167"/>
      <c r="AG407" s="167"/>
      <c r="AH407" s="167"/>
      <c r="AI407" s="167"/>
      <c r="AJ407" s="167"/>
    </row>
    <row r="408" spans="1:36" s="30" customFormat="1">
      <c r="A408" s="83" t="str">
        <f>IF(F408&lt;&gt;"",1+MAX($A$2:A407),"")</f>
        <v/>
      </c>
      <c r="B408" s="84"/>
      <c r="C408" s="85"/>
      <c r="D408" s="58"/>
      <c r="E408" s="61"/>
      <c r="F408" s="86"/>
      <c r="G408" s="87"/>
      <c r="H408" s="59"/>
      <c r="I408" s="131"/>
      <c r="J408" s="132"/>
      <c r="K408" s="133"/>
      <c r="L408" s="134"/>
      <c r="M408" s="134"/>
      <c r="N408" s="134"/>
      <c r="O408" s="134"/>
      <c r="P408" s="134"/>
      <c r="Q408" s="165"/>
      <c r="R408" s="167"/>
      <c r="S408" s="167"/>
      <c r="T408" s="167"/>
      <c r="U408" s="167"/>
      <c r="V408" s="167"/>
      <c r="W408" s="167"/>
      <c r="X408" s="167"/>
      <c r="Y408" s="167"/>
      <c r="Z408" s="167"/>
      <c r="AA408" s="167"/>
      <c r="AB408" s="167"/>
      <c r="AC408" s="167"/>
      <c r="AD408" s="167"/>
      <c r="AE408" s="167"/>
      <c r="AF408" s="167"/>
      <c r="AG408" s="167"/>
      <c r="AH408" s="167"/>
      <c r="AI408" s="167"/>
      <c r="AJ408" s="167"/>
    </row>
    <row r="409" spans="1:36" s="30" customFormat="1">
      <c r="A409" s="83" t="str">
        <f>IF(F409&lt;&gt;"",1+MAX($A$2:A408),"")</f>
        <v/>
      </c>
      <c r="B409" s="84"/>
      <c r="C409" s="85"/>
      <c r="D409" s="79" t="s">
        <v>284</v>
      </c>
      <c r="E409" s="61"/>
      <c r="F409" s="86"/>
      <c r="G409" s="87"/>
      <c r="H409" s="59"/>
      <c r="I409" s="131"/>
      <c r="J409" s="132"/>
      <c r="K409" s="133"/>
      <c r="L409" s="134"/>
      <c r="M409" s="134"/>
      <c r="N409" s="134"/>
      <c r="O409" s="134"/>
      <c r="P409" s="134"/>
      <c r="Q409" s="165"/>
      <c r="R409" s="167"/>
      <c r="S409" s="167"/>
      <c r="T409" s="167"/>
      <c r="U409" s="167"/>
      <c r="V409" s="167"/>
      <c r="W409" s="167"/>
      <c r="X409" s="167"/>
      <c r="Y409" s="167"/>
      <c r="Z409" s="167"/>
      <c r="AA409" s="167"/>
      <c r="AB409" s="167"/>
      <c r="AC409" s="167"/>
      <c r="AD409" s="167"/>
      <c r="AE409" s="167"/>
      <c r="AF409" s="167"/>
      <c r="AG409" s="167"/>
      <c r="AH409" s="167"/>
      <c r="AI409" s="167"/>
      <c r="AJ409" s="167"/>
    </row>
    <row r="410" spans="1:36" s="30" customFormat="1">
      <c r="A410" s="83">
        <f>IF(F410&lt;&gt;"",1+MAX($A$2:A409),"")</f>
        <v>325</v>
      </c>
      <c r="B410" s="84"/>
      <c r="C410" s="85"/>
      <c r="D410" s="58" t="s">
        <v>375</v>
      </c>
      <c r="E410" s="61">
        <v>4211.96</v>
      </c>
      <c r="F410" s="60">
        <v>0.05</v>
      </c>
      <c r="G410" s="55">
        <f t="shared" ref="G410:G413" si="360">(F410*E410)+E410</f>
        <v>4422.558</v>
      </c>
      <c r="H410" s="59" t="s">
        <v>54</v>
      </c>
      <c r="I410" s="131">
        <v>8.0000000000000002E-3</v>
      </c>
      <c r="J410" s="132">
        <f t="shared" ref="J410" si="361">+I410*G410</f>
        <v>35.380464000000003</v>
      </c>
      <c r="K410" s="133">
        <f>'LABOR SHEET'!C$3</f>
        <v>128</v>
      </c>
      <c r="L410" s="134">
        <f t="shared" ref="L410" si="362">I410*K410</f>
        <v>1.024</v>
      </c>
      <c r="M410" s="134">
        <f t="shared" ref="M410" si="363">K410*J410</f>
        <v>4528.6993920000004</v>
      </c>
      <c r="N410" s="134">
        <f>7.94/15</f>
        <v>0.52933333333333299</v>
      </c>
      <c r="O410" s="134">
        <f t="shared" ref="O410" si="364">N410*G410</f>
        <v>2341.007368</v>
      </c>
      <c r="P410" s="134">
        <f t="shared" ref="P410" si="365">(I410*K410)+N410</f>
        <v>1.5533333333333299</v>
      </c>
      <c r="Q410" s="164">
        <f t="shared" ref="Q410" si="366">P410*G410</f>
        <v>6869.70676</v>
      </c>
      <c r="R410" s="167"/>
      <c r="S410" s="167"/>
      <c r="T410" s="167"/>
      <c r="U410" s="167"/>
      <c r="V410" s="167"/>
      <c r="W410" s="167"/>
      <c r="X410" s="167"/>
      <c r="Y410" s="167"/>
      <c r="Z410" s="167"/>
      <c r="AA410" s="167"/>
      <c r="AB410" s="167"/>
      <c r="AC410" s="167"/>
      <c r="AD410" s="167"/>
      <c r="AE410" s="167"/>
      <c r="AF410" s="167"/>
      <c r="AG410" s="167"/>
      <c r="AH410" s="167"/>
      <c r="AI410" s="167"/>
      <c r="AJ410" s="167"/>
    </row>
    <row r="411" spans="1:36" s="30" customFormat="1">
      <c r="A411" s="83">
        <f>IF(F411&lt;&gt;"",1+MAX($A$2:A410),"")</f>
        <v>326</v>
      </c>
      <c r="B411" s="84"/>
      <c r="C411" s="85"/>
      <c r="D411" s="58" t="s">
        <v>376</v>
      </c>
      <c r="E411" s="61">
        <v>173.8</v>
      </c>
      <c r="F411" s="60">
        <v>0.05</v>
      </c>
      <c r="G411" s="55">
        <f t="shared" si="360"/>
        <v>182.49</v>
      </c>
      <c r="H411" s="59" t="s">
        <v>54</v>
      </c>
      <c r="I411" s="131">
        <v>1.4999999999999999E-2</v>
      </c>
      <c r="J411" s="132">
        <f t="shared" ref="J411:J413" si="367">+I411*G411</f>
        <v>2.7373500000000002</v>
      </c>
      <c r="K411" s="133">
        <f>'LABOR SHEET'!C$3</f>
        <v>128</v>
      </c>
      <c r="L411" s="134">
        <f t="shared" ref="L411:L413" si="368">I411*K411</f>
        <v>1.92</v>
      </c>
      <c r="M411" s="134">
        <f t="shared" ref="M411:M413" si="369">K411*J411</f>
        <v>350.38080000000002</v>
      </c>
      <c r="N411" s="134">
        <v>2.5</v>
      </c>
      <c r="O411" s="134">
        <f t="shared" ref="O411:O413" si="370">N411*G411</f>
        <v>456.22500000000002</v>
      </c>
      <c r="P411" s="134">
        <f t="shared" ref="P411:P413" si="371">(I411*K411)+N411</f>
        <v>4.42</v>
      </c>
      <c r="Q411" s="164">
        <f t="shared" ref="Q411:Q413" si="372">P411*G411</f>
        <v>806.60580000000004</v>
      </c>
      <c r="R411" s="167"/>
      <c r="S411" s="167"/>
      <c r="T411" s="167"/>
      <c r="U411" s="167"/>
      <c r="V411" s="167"/>
      <c r="W411" s="167"/>
      <c r="X411" s="167"/>
      <c r="Y411" s="167"/>
      <c r="Z411" s="167"/>
      <c r="AA411" s="167"/>
      <c r="AB411" s="167"/>
      <c r="AC411" s="167"/>
      <c r="AD411" s="167"/>
      <c r="AE411" s="167"/>
      <c r="AF411" s="167"/>
      <c r="AG411" s="167"/>
      <c r="AH411" s="167"/>
      <c r="AI411" s="167"/>
      <c r="AJ411" s="167"/>
    </row>
    <row r="412" spans="1:36" s="30" customFormat="1">
      <c r="A412" s="83">
        <f>IF(F412&lt;&gt;"",1+MAX($A$2:A411),"")</f>
        <v>327</v>
      </c>
      <c r="B412" s="84"/>
      <c r="C412" s="85"/>
      <c r="D412" s="58" t="s">
        <v>377</v>
      </c>
      <c r="E412" s="61">
        <v>366.52</v>
      </c>
      <c r="F412" s="60">
        <v>0.05</v>
      </c>
      <c r="G412" s="55">
        <f t="shared" si="360"/>
        <v>384.846</v>
      </c>
      <c r="H412" s="59" t="s">
        <v>54</v>
      </c>
      <c r="I412" s="131">
        <v>6.0000000000000001E-3</v>
      </c>
      <c r="J412" s="132">
        <f t="shared" si="367"/>
        <v>2.3090760000000001</v>
      </c>
      <c r="K412" s="133">
        <f>'LABOR SHEET'!C$3</f>
        <v>128</v>
      </c>
      <c r="L412" s="134">
        <f t="shared" si="368"/>
        <v>0.76800000000000002</v>
      </c>
      <c r="M412" s="134">
        <f t="shared" si="369"/>
        <v>295.56172800000002</v>
      </c>
      <c r="N412" s="134">
        <v>0.4</v>
      </c>
      <c r="O412" s="134">
        <f t="shared" si="370"/>
        <v>153.9384</v>
      </c>
      <c r="P412" s="134">
        <f t="shared" si="371"/>
        <v>1.1679999999999999</v>
      </c>
      <c r="Q412" s="164">
        <f t="shared" si="372"/>
        <v>449.50012800000002</v>
      </c>
      <c r="R412" s="167"/>
      <c r="S412" s="167"/>
      <c r="T412" s="167"/>
      <c r="U412" s="167"/>
      <c r="V412" s="167"/>
      <c r="W412" s="167"/>
      <c r="X412" s="167"/>
      <c r="Y412" s="167"/>
      <c r="Z412" s="167"/>
      <c r="AA412" s="167"/>
      <c r="AB412" s="167"/>
      <c r="AC412" s="167"/>
      <c r="AD412" s="167"/>
      <c r="AE412" s="167"/>
      <c r="AF412" s="167"/>
      <c r="AG412" s="167"/>
      <c r="AH412" s="167"/>
      <c r="AI412" s="167"/>
      <c r="AJ412" s="167"/>
    </row>
    <row r="413" spans="1:36" s="30" customFormat="1">
      <c r="A413" s="83">
        <f>IF(F413&lt;&gt;"",1+MAX($A$2:A412),"")</f>
        <v>328</v>
      </c>
      <c r="B413" s="84"/>
      <c r="C413" s="85"/>
      <c r="D413" s="58" t="s">
        <v>378</v>
      </c>
      <c r="E413" s="61">
        <v>166.1</v>
      </c>
      <c r="F413" s="60">
        <v>0.05</v>
      </c>
      <c r="G413" s="55">
        <f t="shared" si="360"/>
        <v>174.405</v>
      </c>
      <c r="H413" s="59" t="s">
        <v>54</v>
      </c>
      <c r="I413" s="131">
        <v>0.02</v>
      </c>
      <c r="J413" s="132">
        <f t="shared" si="367"/>
        <v>3.4881000000000002</v>
      </c>
      <c r="K413" s="133">
        <f>'LABOR SHEET'!C$3</f>
        <v>128</v>
      </c>
      <c r="L413" s="134">
        <f t="shared" si="368"/>
        <v>2.56</v>
      </c>
      <c r="M413" s="134">
        <f t="shared" si="369"/>
        <v>446.47680000000003</v>
      </c>
      <c r="N413" s="134">
        <v>4</v>
      </c>
      <c r="O413" s="134">
        <f t="shared" si="370"/>
        <v>697.62</v>
      </c>
      <c r="P413" s="134">
        <f t="shared" si="371"/>
        <v>6.56</v>
      </c>
      <c r="Q413" s="164">
        <f t="shared" si="372"/>
        <v>1144.0968</v>
      </c>
      <c r="R413" s="167"/>
      <c r="S413" s="167"/>
      <c r="T413" s="167"/>
      <c r="U413" s="167"/>
      <c r="V413" s="167"/>
      <c r="W413" s="167"/>
      <c r="X413" s="167"/>
      <c r="Y413" s="167"/>
      <c r="Z413" s="167"/>
      <c r="AA413" s="167"/>
      <c r="AB413" s="167"/>
      <c r="AC413" s="167"/>
      <c r="AD413" s="167"/>
      <c r="AE413" s="167"/>
      <c r="AF413" s="167"/>
      <c r="AG413" s="167"/>
      <c r="AH413" s="167"/>
      <c r="AI413" s="167"/>
      <c r="AJ413" s="167"/>
    </row>
    <row r="414" spans="1:36" s="30" customFormat="1">
      <c r="A414" s="83" t="str">
        <f>IF(F414&lt;&gt;"",1+MAX($A$2:A413),"")</f>
        <v/>
      </c>
      <c r="B414" s="84"/>
      <c r="C414" s="85"/>
      <c r="D414" s="58"/>
      <c r="E414" s="61"/>
      <c r="F414" s="86"/>
      <c r="G414" s="87"/>
      <c r="H414" s="59"/>
      <c r="I414" s="131"/>
      <c r="J414" s="132"/>
      <c r="K414" s="133"/>
      <c r="L414" s="134"/>
      <c r="M414" s="134"/>
      <c r="N414" s="134"/>
      <c r="O414" s="134"/>
      <c r="P414" s="134"/>
      <c r="Q414" s="165"/>
      <c r="R414" s="167"/>
      <c r="S414" s="167"/>
      <c r="T414" s="167"/>
      <c r="U414" s="167"/>
      <c r="V414" s="167"/>
      <c r="W414" s="167"/>
      <c r="X414" s="167"/>
      <c r="Y414" s="167"/>
      <c r="Z414" s="167"/>
      <c r="AA414" s="167"/>
      <c r="AB414" s="167"/>
      <c r="AC414" s="167"/>
      <c r="AD414" s="167"/>
      <c r="AE414" s="167"/>
      <c r="AF414" s="167"/>
      <c r="AG414" s="167"/>
      <c r="AH414" s="167"/>
      <c r="AI414" s="167"/>
      <c r="AJ414" s="167"/>
    </row>
    <row r="415" spans="1:36" s="30" customFormat="1">
      <c r="A415" s="83" t="str">
        <f>IF(F415&lt;&gt;"",1+MAX($A$2:A414),"")</f>
        <v/>
      </c>
      <c r="B415" s="84"/>
      <c r="C415" s="85"/>
      <c r="D415" s="79" t="s">
        <v>289</v>
      </c>
      <c r="E415" s="61"/>
      <c r="F415" s="86"/>
      <c r="G415" s="87"/>
      <c r="H415" s="59"/>
      <c r="I415" s="131"/>
      <c r="J415" s="132"/>
      <c r="K415" s="133"/>
      <c r="L415" s="134"/>
      <c r="M415" s="134"/>
      <c r="N415" s="134"/>
      <c r="O415" s="134"/>
      <c r="P415" s="134"/>
      <c r="Q415" s="165"/>
      <c r="R415" s="167"/>
      <c r="S415" s="167"/>
      <c r="T415" s="167"/>
      <c r="U415" s="167"/>
      <c r="V415" s="167"/>
      <c r="W415" s="167"/>
      <c r="X415" s="167"/>
      <c r="Y415" s="167"/>
      <c r="Z415" s="167"/>
      <c r="AA415" s="167"/>
      <c r="AB415" s="167"/>
      <c r="AC415" s="167"/>
      <c r="AD415" s="167"/>
      <c r="AE415" s="167"/>
      <c r="AF415" s="167"/>
      <c r="AG415" s="167"/>
      <c r="AH415" s="167"/>
      <c r="AI415" s="167"/>
      <c r="AJ415" s="167"/>
    </row>
    <row r="416" spans="1:36" s="30" customFormat="1" ht="31.2">
      <c r="A416" s="83">
        <f>IF(F416&lt;&gt;"",1+MAX($A$2:A415),"")</f>
        <v>329</v>
      </c>
      <c r="B416" s="84"/>
      <c r="C416" s="85"/>
      <c r="D416" s="58" t="s">
        <v>379</v>
      </c>
      <c r="E416" s="61">
        <v>2</v>
      </c>
      <c r="F416" s="60">
        <v>0</v>
      </c>
      <c r="G416" s="55">
        <f t="shared" ref="G416:G435" si="373">(F416*E416)+E416</f>
        <v>2</v>
      </c>
      <c r="H416" s="59" t="s">
        <v>71</v>
      </c>
      <c r="I416" s="131">
        <v>4</v>
      </c>
      <c r="J416" s="132">
        <f t="shared" ref="J416:J435" si="374">+I416*G416</f>
        <v>8</v>
      </c>
      <c r="K416" s="133">
        <f>'LABOR SHEET'!C$3</f>
        <v>128</v>
      </c>
      <c r="L416" s="134">
        <f t="shared" ref="L416:L435" si="375">I416*K416</f>
        <v>512</v>
      </c>
      <c r="M416" s="134">
        <f t="shared" ref="M416:M435" si="376">K416*J416</f>
        <v>1024</v>
      </c>
      <c r="N416" s="134">
        <v>1006</v>
      </c>
      <c r="O416" s="134">
        <f t="shared" ref="O416:O435" si="377">N416*G416</f>
        <v>2012</v>
      </c>
      <c r="P416" s="134">
        <f t="shared" ref="P416:P435" si="378">(I416*K416)+N416</f>
        <v>1518</v>
      </c>
      <c r="Q416" s="164">
        <f t="shared" ref="Q416:Q435" si="379">P416*G416</f>
        <v>3036</v>
      </c>
      <c r="R416" s="167"/>
      <c r="S416" s="167"/>
      <c r="T416" s="167"/>
      <c r="U416" s="167"/>
      <c r="V416" s="167"/>
      <c r="W416" s="167"/>
      <c r="X416" s="167"/>
      <c r="Y416" s="167"/>
      <c r="Z416" s="167"/>
      <c r="AA416" s="167"/>
      <c r="AB416" s="167"/>
      <c r="AC416" s="167"/>
      <c r="AD416" s="167"/>
      <c r="AE416" s="167"/>
      <c r="AF416" s="167"/>
      <c r="AG416" s="167"/>
      <c r="AH416" s="167"/>
      <c r="AI416" s="167"/>
      <c r="AJ416" s="167"/>
    </row>
    <row r="417" spans="1:36" s="30" customFormat="1" ht="31.2">
      <c r="A417" s="83">
        <f>IF(F417&lt;&gt;"",1+MAX($A$2:A416),"")</f>
        <v>330</v>
      </c>
      <c r="B417" s="84"/>
      <c r="C417" s="85"/>
      <c r="D417" s="58" t="s">
        <v>380</v>
      </c>
      <c r="E417" s="61">
        <v>2</v>
      </c>
      <c r="F417" s="60">
        <v>0</v>
      </c>
      <c r="G417" s="55">
        <f t="shared" si="373"/>
        <v>2</v>
      </c>
      <c r="H417" s="59" t="s">
        <v>71</v>
      </c>
      <c r="I417" s="131">
        <v>1.5</v>
      </c>
      <c r="J417" s="132">
        <f t="shared" si="374"/>
        <v>3</v>
      </c>
      <c r="K417" s="133">
        <f>'LABOR SHEET'!C$3</f>
        <v>128</v>
      </c>
      <c r="L417" s="134">
        <f t="shared" si="375"/>
        <v>192</v>
      </c>
      <c r="M417" s="134">
        <f t="shared" si="376"/>
        <v>384</v>
      </c>
      <c r="N417" s="134">
        <v>267.89999999999998</v>
      </c>
      <c r="O417" s="134">
        <f t="shared" si="377"/>
        <v>535.79999999999995</v>
      </c>
      <c r="P417" s="134">
        <f t="shared" si="378"/>
        <v>459.9</v>
      </c>
      <c r="Q417" s="164">
        <f t="shared" si="379"/>
        <v>919.8</v>
      </c>
      <c r="R417" s="167"/>
      <c r="S417" s="167"/>
      <c r="T417" s="167"/>
      <c r="U417" s="167"/>
      <c r="V417" s="167"/>
      <c r="W417" s="167"/>
      <c r="X417" s="167"/>
      <c r="Y417" s="167"/>
      <c r="Z417" s="167"/>
      <c r="AA417" s="167"/>
      <c r="AB417" s="167"/>
      <c r="AC417" s="167"/>
      <c r="AD417" s="167"/>
      <c r="AE417" s="167"/>
      <c r="AF417" s="167"/>
      <c r="AG417" s="167"/>
      <c r="AH417" s="167"/>
      <c r="AI417" s="167"/>
      <c r="AJ417" s="167"/>
    </row>
    <row r="418" spans="1:36" s="30" customFormat="1" ht="31.2">
      <c r="A418" s="83">
        <f>IF(F418&lt;&gt;"",1+MAX($A$2:A417),"")</f>
        <v>331</v>
      </c>
      <c r="B418" s="84"/>
      <c r="C418" s="85"/>
      <c r="D418" s="58" t="s">
        <v>381</v>
      </c>
      <c r="E418" s="61">
        <v>1</v>
      </c>
      <c r="F418" s="60">
        <v>0</v>
      </c>
      <c r="G418" s="55">
        <f t="shared" si="373"/>
        <v>1</v>
      </c>
      <c r="H418" s="59" t="s">
        <v>71</v>
      </c>
      <c r="I418" s="131">
        <v>1.5</v>
      </c>
      <c r="J418" s="132">
        <f t="shared" ref="J418:J419" si="380">+I418*G418</f>
        <v>1.5</v>
      </c>
      <c r="K418" s="133">
        <f>'LABOR SHEET'!C$3</f>
        <v>128</v>
      </c>
      <c r="L418" s="134">
        <f t="shared" ref="L418:L419" si="381">I418*K418</f>
        <v>192</v>
      </c>
      <c r="M418" s="134">
        <f t="shared" ref="M418:M419" si="382">K418*J418</f>
        <v>192</v>
      </c>
      <c r="N418" s="134">
        <v>267.89999999999998</v>
      </c>
      <c r="O418" s="134">
        <f t="shared" ref="O418:O419" si="383">N418*G418</f>
        <v>267.89999999999998</v>
      </c>
      <c r="P418" s="134">
        <f t="shared" ref="P418:P419" si="384">(I418*K418)+N418</f>
        <v>459.9</v>
      </c>
      <c r="Q418" s="164">
        <f t="shared" ref="Q418:Q419" si="385">P418*G418</f>
        <v>459.9</v>
      </c>
      <c r="R418" s="167"/>
      <c r="S418" s="167"/>
      <c r="T418" s="167"/>
      <c r="U418" s="167"/>
      <c r="V418" s="167"/>
      <c r="W418" s="167"/>
      <c r="X418" s="167"/>
      <c r="Y418" s="167"/>
      <c r="Z418" s="167"/>
      <c r="AA418" s="167"/>
      <c r="AB418" s="167"/>
      <c r="AC418" s="167"/>
      <c r="AD418" s="167"/>
      <c r="AE418" s="167"/>
      <c r="AF418" s="167"/>
      <c r="AG418" s="167"/>
      <c r="AH418" s="167"/>
      <c r="AI418" s="167"/>
      <c r="AJ418" s="167"/>
    </row>
    <row r="419" spans="1:36" s="30" customFormat="1" ht="31.2">
      <c r="A419" s="83">
        <f>IF(F419&lt;&gt;"",1+MAX($A$2:A418),"")</f>
        <v>332</v>
      </c>
      <c r="B419" s="84"/>
      <c r="C419" s="85"/>
      <c r="D419" s="58" t="s">
        <v>382</v>
      </c>
      <c r="E419" s="61">
        <v>2</v>
      </c>
      <c r="F419" s="60">
        <v>0</v>
      </c>
      <c r="G419" s="55">
        <f t="shared" si="373"/>
        <v>2</v>
      </c>
      <c r="H419" s="59" t="s">
        <v>71</v>
      </c>
      <c r="I419" s="131">
        <v>2</v>
      </c>
      <c r="J419" s="132">
        <f t="shared" si="380"/>
        <v>4</v>
      </c>
      <c r="K419" s="133">
        <f>'LABOR SHEET'!C$3</f>
        <v>128</v>
      </c>
      <c r="L419" s="134">
        <f t="shared" si="381"/>
        <v>256</v>
      </c>
      <c r="M419" s="134">
        <f t="shared" si="382"/>
        <v>512</v>
      </c>
      <c r="N419" s="134">
        <v>310</v>
      </c>
      <c r="O419" s="134">
        <f t="shared" si="383"/>
        <v>620</v>
      </c>
      <c r="P419" s="134">
        <f t="shared" si="384"/>
        <v>566</v>
      </c>
      <c r="Q419" s="164">
        <f t="shared" si="385"/>
        <v>1132</v>
      </c>
      <c r="R419" s="167"/>
      <c r="S419" s="167"/>
      <c r="T419" s="167"/>
      <c r="U419" s="167"/>
      <c r="V419" s="167"/>
      <c r="W419" s="167"/>
      <c r="X419" s="167"/>
      <c r="Y419" s="167"/>
      <c r="Z419" s="167"/>
      <c r="AA419" s="167"/>
      <c r="AB419" s="167"/>
      <c r="AC419" s="167"/>
      <c r="AD419" s="167"/>
      <c r="AE419" s="167"/>
      <c r="AF419" s="167"/>
      <c r="AG419" s="167"/>
      <c r="AH419" s="167"/>
      <c r="AI419" s="167"/>
      <c r="AJ419" s="167"/>
    </row>
    <row r="420" spans="1:36" s="30" customFormat="1" ht="31.2">
      <c r="A420" s="83">
        <f>IF(F420&lt;&gt;"",1+MAX($A$2:A419),"")</f>
        <v>333</v>
      </c>
      <c r="B420" s="84"/>
      <c r="C420" s="85"/>
      <c r="D420" s="58" t="s">
        <v>383</v>
      </c>
      <c r="E420" s="61">
        <v>4</v>
      </c>
      <c r="F420" s="60">
        <v>0</v>
      </c>
      <c r="G420" s="55">
        <f t="shared" si="373"/>
        <v>4</v>
      </c>
      <c r="H420" s="59" t="s">
        <v>71</v>
      </c>
      <c r="I420" s="131">
        <v>2</v>
      </c>
      <c r="J420" s="132">
        <f t="shared" si="374"/>
        <v>8</v>
      </c>
      <c r="K420" s="133">
        <f>'LABOR SHEET'!C$3</f>
        <v>128</v>
      </c>
      <c r="L420" s="134">
        <f t="shared" si="375"/>
        <v>256</v>
      </c>
      <c r="M420" s="134">
        <f t="shared" si="376"/>
        <v>1024</v>
      </c>
      <c r="N420" s="134">
        <v>500.98</v>
      </c>
      <c r="O420" s="134">
        <f t="shared" si="377"/>
        <v>2003.92</v>
      </c>
      <c r="P420" s="134">
        <f t="shared" si="378"/>
        <v>756.98</v>
      </c>
      <c r="Q420" s="164">
        <f t="shared" si="379"/>
        <v>3027.92</v>
      </c>
      <c r="R420" s="167"/>
      <c r="S420" s="167"/>
      <c r="T420" s="167"/>
      <c r="U420" s="167"/>
      <c r="V420" s="167"/>
      <c r="W420" s="167"/>
      <c r="X420" s="167"/>
      <c r="Y420" s="167"/>
      <c r="Z420" s="167"/>
      <c r="AA420" s="167"/>
      <c r="AB420" s="167"/>
      <c r="AC420" s="167"/>
      <c r="AD420" s="167"/>
      <c r="AE420" s="167"/>
      <c r="AF420" s="167"/>
      <c r="AG420" s="167"/>
      <c r="AH420" s="167"/>
      <c r="AI420" s="167"/>
      <c r="AJ420" s="167"/>
    </row>
    <row r="421" spans="1:36" s="30" customFormat="1" ht="31.2">
      <c r="A421" s="83">
        <f>IF(F421&lt;&gt;"",1+MAX($A$2:A420),"")</f>
        <v>334</v>
      </c>
      <c r="B421" s="84"/>
      <c r="C421" s="85"/>
      <c r="D421" s="58" t="s">
        <v>384</v>
      </c>
      <c r="E421" s="61">
        <v>6</v>
      </c>
      <c r="F421" s="60">
        <v>0</v>
      </c>
      <c r="G421" s="55">
        <f t="shared" si="373"/>
        <v>6</v>
      </c>
      <c r="H421" s="59" t="s">
        <v>71</v>
      </c>
      <c r="I421" s="131">
        <v>2.5</v>
      </c>
      <c r="J421" s="132">
        <f t="shared" si="374"/>
        <v>15</v>
      </c>
      <c r="K421" s="133">
        <f>'LABOR SHEET'!C$3</f>
        <v>128</v>
      </c>
      <c r="L421" s="134">
        <f t="shared" si="375"/>
        <v>320</v>
      </c>
      <c r="M421" s="134">
        <f t="shared" si="376"/>
        <v>1920</v>
      </c>
      <c r="N421" s="134">
        <v>641.70000000000005</v>
      </c>
      <c r="O421" s="134">
        <f t="shared" si="377"/>
        <v>3850.2</v>
      </c>
      <c r="P421" s="134">
        <f t="shared" si="378"/>
        <v>961.7</v>
      </c>
      <c r="Q421" s="164">
        <f t="shared" si="379"/>
        <v>5770.2</v>
      </c>
      <c r="R421" s="167"/>
      <c r="S421" s="167"/>
      <c r="T421" s="167"/>
      <c r="U421" s="167"/>
      <c r="V421" s="167"/>
      <c r="W421" s="167"/>
      <c r="X421" s="167"/>
      <c r="Y421" s="167"/>
      <c r="Z421" s="167"/>
      <c r="AA421" s="167"/>
      <c r="AB421" s="167"/>
      <c r="AC421" s="167"/>
      <c r="AD421" s="167"/>
      <c r="AE421" s="167"/>
      <c r="AF421" s="167"/>
      <c r="AG421" s="167"/>
      <c r="AH421" s="167"/>
      <c r="AI421" s="167"/>
      <c r="AJ421" s="167"/>
    </row>
    <row r="422" spans="1:36" s="30" customFormat="1" ht="31.2">
      <c r="A422" s="83">
        <f>IF(F422&lt;&gt;"",1+MAX($A$2:A421),"")</f>
        <v>335</v>
      </c>
      <c r="B422" s="84"/>
      <c r="C422" s="85"/>
      <c r="D422" s="58" t="s">
        <v>385</v>
      </c>
      <c r="E422" s="61">
        <v>3</v>
      </c>
      <c r="F422" s="60">
        <v>0</v>
      </c>
      <c r="G422" s="55">
        <f t="shared" si="373"/>
        <v>3</v>
      </c>
      <c r="H422" s="59" t="s">
        <v>71</v>
      </c>
      <c r="I422" s="131">
        <v>10</v>
      </c>
      <c r="J422" s="132">
        <f t="shared" si="374"/>
        <v>30</v>
      </c>
      <c r="K422" s="133">
        <f>'LABOR SHEET'!C$3</f>
        <v>128</v>
      </c>
      <c r="L422" s="134">
        <f t="shared" si="375"/>
        <v>1280</v>
      </c>
      <c r="M422" s="134">
        <f t="shared" si="376"/>
        <v>3840</v>
      </c>
      <c r="N422" s="134">
        <v>9190</v>
      </c>
      <c r="O422" s="134">
        <f t="shared" si="377"/>
        <v>27570</v>
      </c>
      <c r="P422" s="134">
        <f t="shared" si="378"/>
        <v>10470</v>
      </c>
      <c r="Q422" s="164">
        <f t="shared" si="379"/>
        <v>31410</v>
      </c>
      <c r="R422" s="167"/>
      <c r="S422" s="167"/>
      <c r="T422" s="167"/>
      <c r="U422" s="167"/>
      <c r="V422" s="167"/>
      <c r="W422" s="167"/>
      <c r="X422" s="167"/>
      <c r="Y422" s="167"/>
      <c r="Z422" s="167"/>
      <c r="AA422" s="167"/>
      <c r="AB422" s="167"/>
      <c r="AC422" s="167"/>
      <c r="AD422" s="167"/>
      <c r="AE422" s="167"/>
      <c r="AF422" s="167"/>
      <c r="AG422" s="167"/>
      <c r="AH422" s="167"/>
      <c r="AI422" s="167"/>
      <c r="AJ422" s="167"/>
    </row>
    <row r="423" spans="1:36" s="30" customFormat="1" ht="31.2">
      <c r="A423" s="83">
        <f>IF(F423&lt;&gt;"",1+MAX($A$2:A422),"")</f>
        <v>336</v>
      </c>
      <c r="B423" s="84"/>
      <c r="C423" s="85"/>
      <c r="D423" s="58" t="s">
        <v>386</v>
      </c>
      <c r="E423" s="61">
        <v>3</v>
      </c>
      <c r="F423" s="60">
        <v>0</v>
      </c>
      <c r="G423" s="55">
        <f t="shared" si="373"/>
        <v>3</v>
      </c>
      <c r="H423" s="59" t="s">
        <v>71</v>
      </c>
      <c r="I423" s="131">
        <v>2.5</v>
      </c>
      <c r="J423" s="132">
        <f t="shared" si="374"/>
        <v>7.5</v>
      </c>
      <c r="K423" s="133">
        <f>'LABOR SHEET'!C$3</f>
        <v>128</v>
      </c>
      <c r="L423" s="134">
        <f t="shared" si="375"/>
        <v>320</v>
      </c>
      <c r="M423" s="134">
        <f t="shared" si="376"/>
        <v>960</v>
      </c>
      <c r="N423" s="134">
        <v>1350</v>
      </c>
      <c r="O423" s="134">
        <f t="shared" si="377"/>
        <v>4050</v>
      </c>
      <c r="P423" s="134">
        <f t="shared" si="378"/>
        <v>1670</v>
      </c>
      <c r="Q423" s="164">
        <f t="shared" si="379"/>
        <v>5010</v>
      </c>
      <c r="R423" s="167"/>
      <c r="S423" s="167"/>
      <c r="T423" s="167"/>
      <c r="U423" s="167"/>
      <c r="V423" s="167"/>
      <c r="W423" s="167"/>
      <c r="X423" s="167"/>
      <c r="Y423" s="167"/>
      <c r="Z423" s="167"/>
      <c r="AA423" s="167"/>
      <c r="AB423" s="167"/>
      <c r="AC423" s="167"/>
      <c r="AD423" s="167"/>
      <c r="AE423" s="167"/>
      <c r="AF423" s="167"/>
      <c r="AG423" s="167"/>
      <c r="AH423" s="167"/>
      <c r="AI423" s="167"/>
      <c r="AJ423" s="167"/>
    </row>
    <row r="424" spans="1:36" s="30" customFormat="1" ht="31.2">
      <c r="A424" s="83">
        <f>IF(F424&lt;&gt;"",1+MAX($A$2:A423),"")</f>
        <v>337</v>
      </c>
      <c r="B424" s="84"/>
      <c r="C424" s="85"/>
      <c r="D424" s="58" t="s">
        <v>387</v>
      </c>
      <c r="E424" s="61">
        <v>2</v>
      </c>
      <c r="F424" s="60">
        <v>0</v>
      </c>
      <c r="G424" s="55">
        <f t="shared" si="373"/>
        <v>2</v>
      </c>
      <c r="H424" s="59" t="s">
        <v>71</v>
      </c>
      <c r="I424" s="131">
        <v>2.5</v>
      </c>
      <c r="J424" s="132">
        <f t="shared" ref="J424:J425" si="386">+I424*G424</f>
        <v>5</v>
      </c>
      <c r="K424" s="133">
        <f>'LABOR SHEET'!C$3</f>
        <v>128</v>
      </c>
      <c r="L424" s="134">
        <f t="shared" ref="L424:L425" si="387">I424*K424</f>
        <v>320</v>
      </c>
      <c r="M424" s="134">
        <f t="shared" ref="M424:M425" si="388">K424*J424</f>
        <v>640</v>
      </c>
      <c r="N424" s="134">
        <v>1350</v>
      </c>
      <c r="O424" s="134">
        <f t="shared" ref="O424:O425" si="389">N424*G424</f>
        <v>2700</v>
      </c>
      <c r="P424" s="134">
        <f t="shared" ref="P424:P425" si="390">(I424*K424)+N424</f>
        <v>1670</v>
      </c>
      <c r="Q424" s="164">
        <f t="shared" ref="Q424:Q425" si="391">P424*G424</f>
        <v>3340</v>
      </c>
      <c r="R424" s="167"/>
      <c r="S424" s="167"/>
      <c r="T424" s="167"/>
      <c r="U424" s="167"/>
      <c r="V424" s="167"/>
      <c r="W424" s="167"/>
      <c r="X424" s="167"/>
      <c r="Y424" s="167"/>
      <c r="Z424" s="167"/>
      <c r="AA424" s="167"/>
      <c r="AB424" s="167"/>
      <c r="AC424" s="167"/>
      <c r="AD424" s="167"/>
      <c r="AE424" s="167"/>
      <c r="AF424" s="167"/>
      <c r="AG424" s="167"/>
      <c r="AH424" s="167"/>
      <c r="AI424" s="167"/>
      <c r="AJ424" s="167"/>
    </row>
    <row r="425" spans="1:36" s="30" customFormat="1" ht="31.2">
      <c r="A425" s="83">
        <f>IF(F425&lt;&gt;"",1+MAX($A$2:A424),"")</f>
        <v>338</v>
      </c>
      <c r="B425" s="84"/>
      <c r="C425" s="85"/>
      <c r="D425" s="58" t="s">
        <v>388</v>
      </c>
      <c r="E425" s="61">
        <v>1</v>
      </c>
      <c r="F425" s="60">
        <v>0</v>
      </c>
      <c r="G425" s="55">
        <f t="shared" si="373"/>
        <v>1</v>
      </c>
      <c r="H425" s="59" t="s">
        <v>71</v>
      </c>
      <c r="I425" s="131">
        <v>2.5</v>
      </c>
      <c r="J425" s="132">
        <f t="shared" si="386"/>
        <v>2.5</v>
      </c>
      <c r="K425" s="133">
        <f>'LABOR SHEET'!C$3</f>
        <v>128</v>
      </c>
      <c r="L425" s="134">
        <f t="shared" si="387"/>
        <v>320</v>
      </c>
      <c r="M425" s="134">
        <f t="shared" si="388"/>
        <v>320</v>
      </c>
      <c r="N425" s="134">
        <v>1350</v>
      </c>
      <c r="O425" s="134">
        <f t="shared" si="389"/>
        <v>1350</v>
      </c>
      <c r="P425" s="134">
        <f t="shared" si="390"/>
        <v>1670</v>
      </c>
      <c r="Q425" s="164">
        <f t="shared" si="391"/>
        <v>1670</v>
      </c>
      <c r="R425" s="167"/>
      <c r="S425" s="167"/>
      <c r="T425" s="167"/>
      <c r="U425" s="167"/>
      <c r="V425" s="167"/>
      <c r="W425" s="167"/>
      <c r="X425" s="167"/>
      <c r="Y425" s="167"/>
      <c r="Z425" s="167"/>
      <c r="AA425" s="167"/>
      <c r="AB425" s="167"/>
      <c r="AC425" s="167"/>
      <c r="AD425" s="167"/>
      <c r="AE425" s="167"/>
      <c r="AF425" s="167"/>
      <c r="AG425" s="167"/>
      <c r="AH425" s="167"/>
      <c r="AI425" s="167"/>
      <c r="AJ425" s="167"/>
    </row>
    <row r="426" spans="1:36" s="30" customFormat="1" ht="31.2">
      <c r="A426" s="83">
        <f>IF(F426&lt;&gt;"",1+MAX($A$2:A425),"")</f>
        <v>339</v>
      </c>
      <c r="B426" s="84"/>
      <c r="C426" s="85"/>
      <c r="D426" s="58" t="s">
        <v>389</v>
      </c>
      <c r="E426" s="61">
        <v>10</v>
      </c>
      <c r="F426" s="60">
        <v>0</v>
      </c>
      <c r="G426" s="55">
        <f t="shared" si="373"/>
        <v>10</v>
      </c>
      <c r="H426" s="59" t="s">
        <v>71</v>
      </c>
      <c r="I426" s="131">
        <v>1</v>
      </c>
      <c r="J426" s="132">
        <f t="shared" si="374"/>
        <v>10</v>
      </c>
      <c r="K426" s="133">
        <f>'LABOR SHEET'!C$3</f>
        <v>128</v>
      </c>
      <c r="L426" s="134">
        <f t="shared" si="375"/>
        <v>128</v>
      </c>
      <c r="M426" s="134">
        <f t="shared" si="376"/>
        <v>1280</v>
      </c>
      <c r="N426" s="134">
        <v>279</v>
      </c>
      <c r="O426" s="134">
        <f t="shared" si="377"/>
        <v>2790</v>
      </c>
      <c r="P426" s="134">
        <f t="shared" si="378"/>
        <v>407</v>
      </c>
      <c r="Q426" s="164">
        <f t="shared" si="379"/>
        <v>4070</v>
      </c>
      <c r="R426" s="167"/>
      <c r="S426" s="167"/>
      <c r="T426" s="167"/>
      <c r="U426" s="167"/>
      <c r="V426" s="167"/>
      <c r="W426" s="167"/>
      <c r="X426" s="167"/>
      <c r="Y426" s="167"/>
      <c r="Z426" s="167"/>
      <c r="AA426" s="167"/>
      <c r="AB426" s="167"/>
      <c r="AC426" s="167"/>
      <c r="AD426" s="167"/>
      <c r="AE426" s="167"/>
      <c r="AF426" s="167"/>
      <c r="AG426" s="167"/>
      <c r="AH426" s="167"/>
      <c r="AI426" s="167"/>
      <c r="AJ426" s="167"/>
    </row>
    <row r="427" spans="1:36" s="30" customFormat="1" ht="31.2">
      <c r="A427" s="83">
        <f>IF(F427&lt;&gt;"",1+MAX($A$2:A426),"")</f>
        <v>340</v>
      </c>
      <c r="B427" s="84"/>
      <c r="C427" s="85"/>
      <c r="D427" s="58" t="s">
        <v>390</v>
      </c>
      <c r="E427" s="61">
        <v>2</v>
      </c>
      <c r="F427" s="60">
        <v>0</v>
      </c>
      <c r="G427" s="55">
        <f t="shared" si="373"/>
        <v>2</v>
      </c>
      <c r="H427" s="59" t="s">
        <v>71</v>
      </c>
      <c r="I427" s="131">
        <v>1.2</v>
      </c>
      <c r="J427" s="132">
        <f t="shared" si="374"/>
        <v>2.4</v>
      </c>
      <c r="K427" s="133">
        <f>'LABOR SHEET'!C$3</f>
        <v>128</v>
      </c>
      <c r="L427" s="134">
        <f t="shared" si="375"/>
        <v>153.6</v>
      </c>
      <c r="M427" s="134">
        <f t="shared" si="376"/>
        <v>307.2</v>
      </c>
      <c r="N427" s="134">
        <v>399</v>
      </c>
      <c r="O427" s="134">
        <f t="shared" si="377"/>
        <v>798</v>
      </c>
      <c r="P427" s="134">
        <f t="shared" si="378"/>
        <v>552.6</v>
      </c>
      <c r="Q427" s="164">
        <f t="shared" si="379"/>
        <v>1105.2</v>
      </c>
      <c r="R427" s="167"/>
      <c r="S427" s="167"/>
      <c r="T427" s="167"/>
      <c r="U427" s="167"/>
      <c r="V427" s="167"/>
      <c r="W427" s="167"/>
      <c r="X427" s="167"/>
      <c r="Y427" s="167"/>
      <c r="Z427" s="167"/>
      <c r="AA427" s="167"/>
      <c r="AB427" s="167"/>
      <c r="AC427" s="167"/>
      <c r="AD427" s="167"/>
      <c r="AE427" s="167"/>
      <c r="AF427" s="167"/>
      <c r="AG427" s="167"/>
      <c r="AH427" s="167"/>
      <c r="AI427" s="167"/>
      <c r="AJ427" s="167"/>
    </row>
    <row r="428" spans="1:36" s="30" customFormat="1" ht="31.2">
      <c r="A428" s="83">
        <f>IF(F428&lt;&gt;"",1+MAX($A$2:A427),"")</f>
        <v>341</v>
      </c>
      <c r="B428" s="84"/>
      <c r="C428" s="85"/>
      <c r="D428" s="58" t="s">
        <v>391</v>
      </c>
      <c r="E428" s="61">
        <v>8</v>
      </c>
      <c r="F428" s="60">
        <v>0</v>
      </c>
      <c r="G428" s="55">
        <f t="shared" si="373"/>
        <v>8</v>
      </c>
      <c r="H428" s="59" t="s">
        <v>71</v>
      </c>
      <c r="I428" s="131">
        <v>1.5</v>
      </c>
      <c r="J428" s="132">
        <f t="shared" si="374"/>
        <v>12</v>
      </c>
      <c r="K428" s="133">
        <f>'LABOR SHEET'!C$3</f>
        <v>128</v>
      </c>
      <c r="L428" s="134">
        <f t="shared" si="375"/>
        <v>192</v>
      </c>
      <c r="M428" s="134">
        <f t="shared" si="376"/>
        <v>1536</v>
      </c>
      <c r="N428" s="134">
        <v>319.67</v>
      </c>
      <c r="O428" s="134">
        <f t="shared" si="377"/>
        <v>2557.36</v>
      </c>
      <c r="P428" s="134">
        <f t="shared" si="378"/>
        <v>511.67</v>
      </c>
      <c r="Q428" s="164">
        <f t="shared" si="379"/>
        <v>4093.36</v>
      </c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  <c r="AB428" s="167"/>
      <c r="AC428" s="167"/>
      <c r="AD428" s="167"/>
      <c r="AE428" s="167"/>
      <c r="AF428" s="167"/>
      <c r="AG428" s="167"/>
      <c r="AH428" s="167"/>
      <c r="AI428" s="167"/>
      <c r="AJ428" s="167"/>
    </row>
    <row r="429" spans="1:36" s="30" customFormat="1" ht="31.2">
      <c r="A429" s="83">
        <f>IF(F429&lt;&gt;"",1+MAX($A$2:A428),"")</f>
        <v>342</v>
      </c>
      <c r="B429" s="84"/>
      <c r="C429" s="85"/>
      <c r="D429" s="58" t="s">
        <v>392</v>
      </c>
      <c r="E429" s="61">
        <v>4</v>
      </c>
      <c r="F429" s="60">
        <v>0</v>
      </c>
      <c r="G429" s="55">
        <f t="shared" si="373"/>
        <v>4</v>
      </c>
      <c r="H429" s="59" t="s">
        <v>71</v>
      </c>
      <c r="I429" s="131">
        <v>2</v>
      </c>
      <c r="J429" s="132">
        <f t="shared" si="374"/>
        <v>8</v>
      </c>
      <c r="K429" s="133">
        <f>'LABOR SHEET'!C$3</f>
        <v>128</v>
      </c>
      <c r="L429" s="134">
        <f t="shared" si="375"/>
        <v>256</v>
      </c>
      <c r="M429" s="134">
        <f t="shared" si="376"/>
        <v>1024</v>
      </c>
      <c r="N429" s="134">
        <v>488</v>
      </c>
      <c r="O429" s="134">
        <f t="shared" si="377"/>
        <v>1952</v>
      </c>
      <c r="P429" s="134">
        <f t="shared" si="378"/>
        <v>744</v>
      </c>
      <c r="Q429" s="164">
        <f t="shared" si="379"/>
        <v>2976</v>
      </c>
      <c r="R429" s="167"/>
      <c r="S429" s="167"/>
      <c r="T429" s="167"/>
      <c r="U429" s="167"/>
      <c r="V429" s="167"/>
      <c r="W429" s="167"/>
      <c r="X429" s="167"/>
      <c r="Y429" s="167"/>
      <c r="Z429" s="167"/>
      <c r="AA429" s="167"/>
      <c r="AB429" s="167"/>
      <c r="AC429" s="167"/>
      <c r="AD429" s="167"/>
      <c r="AE429" s="167"/>
      <c r="AF429" s="167"/>
      <c r="AG429" s="167"/>
      <c r="AH429" s="167"/>
      <c r="AI429" s="167"/>
      <c r="AJ429" s="167"/>
    </row>
    <row r="430" spans="1:36" s="30" customFormat="1" ht="31.2">
      <c r="A430" s="83">
        <f>IF(F430&lt;&gt;"",1+MAX($A$2:A429),"")</f>
        <v>343</v>
      </c>
      <c r="B430" s="84"/>
      <c r="C430" s="85"/>
      <c r="D430" s="58" t="s">
        <v>393</v>
      </c>
      <c r="E430" s="61">
        <v>1</v>
      </c>
      <c r="F430" s="60">
        <v>0</v>
      </c>
      <c r="G430" s="55">
        <f t="shared" si="373"/>
        <v>1</v>
      </c>
      <c r="H430" s="59" t="s">
        <v>71</v>
      </c>
      <c r="I430" s="131">
        <v>4.5</v>
      </c>
      <c r="J430" s="132">
        <f t="shared" si="374"/>
        <v>4.5</v>
      </c>
      <c r="K430" s="133">
        <f>'LABOR SHEET'!C$3</f>
        <v>128</v>
      </c>
      <c r="L430" s="134">
        <f t="shared" si="375"/>
        <v>576</v>
      </c>
      <c r="M430" s="134">
        <f t="shared" si="376"/>
        <v>576</v>
      </c>
      <c r="N430" s="134">
        <v>1139.3</v>
      </c>
      <c r="O430" s="134">
        <f t="shared" si="377"/>
        <v>1139.3</v>
      </c>
      <c r="P430" s="134">
        <f t="shared" si="378"/>
        <v>1715.3</v>
      </c>
      <c r="Q430" s="164">
        <f t="shared" si="379"/>
        <v>1715.3</v>
      </c>
      <c r="R430" s="167"/>
      <c r="S430" s="167"/>
      <c r="T430" s="167"/>
      <c r="U430" s="167"/>
      <c r="V430" s="167"/>
      <c r="W430" s="167"/>
      <c r="X430" s="167"/>
      <c r="Y430" s="167"/>
      <c r="Z430" s="167"/>
      <c r="AA430" s="167"/>
      <c r="AB430" s="167"/>
      <c r="AC430" s="167"/>
      <c r="AD430" s="167"/>
      <c r="AE430" s="167"/>
      <c r="AF430" s="167"/>
      <c r="AG430" s="167"/>
      <c r="AH430" s="167"/>
      <c r="AI430" s="167"/>
      <c r="AJ430" s="167"/>
    </row>
    <row r="431" spans="1:36" s="30" customFormat="1" ht="31.2">
      <c r="A431" s="83">
        <f>IF(F431&lt;&gt;"",1+MAX($A$2:A430),"")</f>
        <v>344</v>
      </c>
      <c r="B431" s="84"/>
      <c r="C431" s="85"/>
      <c r="D431" s="58" t="s">
        <v>394</v>
      </c>
      <c r="E431" s="61">
        <v>1</v>
      </c>
      <c r="F431" s="60">
        <v>0</v>
      </c>
      <c r="G431" s="55">
        <f t="shared" si="373"/>
        <v>1</v>
      </c>
      <c r="H431" s="59" t="s">
        <v>71</v>
      </c>
      <c r="I431" s="131">
        <v>4.5</v>
      </c>
      <c r="J431" s="132">
        <f t="shared" si="374"/>
        <v>4.5</v>
      </c>
      <c r="K431" s="133">
        <f>'LABOR SHEET'!C$3</f>
        <v>128</v>
      </c>
      <c r="L431" s="134">
        <f t="shared" si="375"/>
        <v>576</v>
      </c>
      <c r="M431" s="134">
        <f t="shared" si="376"/>
        <v>576</v>
      </c>
      <c r="N431" s="134">
        <v>1139.3</v>
      </c>
      <c r="O431" s="134">
        <f t="shared" si="377"/>
        <v>1139.3</v>
      </c>
      <c r="P431" s="134">
        <f t="shared" si="378"/>
        <v>1715.3</v>
      </c>
      <c r="Q431" s="164">
        <f t="shared" si="379"/>
        <v>1715.3</v>
      </c>
      <c r="R431" s="167"/>
      <c r="S431" s="167"/>
      <c r="T431" s="167"/>
      <c r="U431" s="167"/>
      <c r="V431" s="167"/>
      <c r="W431" s="167"/>
      <c r="X431" s="167"/>
      <c r="Y431" s="167"/>
      <c r="Z431" s="167"/>
      <c r="AA431" s="167"/>
      <c r="AB431" s="167"/>
      <c r="AC431" s="167"/>
      <c r="AD431" s="167"/>
      <c r="AE431" s="167"/>
      <c r="AF431" s="167"/>
      <c r="AG431" s="167"/>
      <c r="AH431" s="167"/>
      <c r="AI431" s="167"/>
      <c r="AJ431" s="167"/>
    </row>
    <row r="432" spans="1:36" s="30" customFormat="1" ht="31.2">
      <c r="A432" s="83">
        <f>IF(F432&lt;&gt;"",1+MAX($A$2:A431),"")</f>
        <v>345</v>
      </c>
      <c r="B432" s="84"/>
      <c r="C432" s="85"/>
      <c r="D432" s="58" t="s">
        <v>395</v>
      </c>
      <c r="E432" s="61">
        <v>2</v>
      </c>
      <c r="F432" s="60">
        <v>0</v>
      </c>
      <c r="G432" s="55">
        <f t="shared" si="373"/>
        <v>2</v>
      </c>
      <c r="H432" s="59" t="s">
        <v>71</v>
      </c>
      <c r="I432" s="131">
        <v>3</v>
      </c>
      <c r="J432" s="132">
        <f t="shared" si="374"/>
        <v>6</v>
      </c>
      <c r="K432" s="133">
        <f>'LABOR SHEET'!C$3</f>
        <v>128</v>
      </c>
      <c r="L432" s="134">
        <f t="shared" si="375"/>
        <v>384</v>
      </c>
      <c r="M432" s="134">
        <f t="shared" si="376"/>
        <v>768</v>
      </c>
      <c r="N432" s="134">
        <v>1250</v>
      </c>
      <c r="O432" s="134">
        <f t="shared" si="377"/>
        <v>2500</v>
      </c>
      <c r="P432" s="134">
        <f t="shared" si="378"/>
        <v>1634</v>
      </c>
      <c r="Q432" s="164">
        <f t="shared" si="379"/>
        <v>3268</v>
      </c>
      <c r="R432" s="167"/>
      <c r="S432" s="167"/>
      <c r="T432" s="167"/>
      <c r="U432" s="167"/>
      <c r="V432" s="167"/>
      <c r="W432" s="167"/>
      <c r="X432" s="167"/>
      <c r="Y432" s="167"/>
      <c r="Z432" s="167"/>
      <c r="AA432" s="167"/>
      <c r="AB432" s="167"/>
      <c r="AC432" s="167"/>
      <c r="AD432" s="167"/>
      <c r="AE432" s="167"/>
      <c r="AF432" s="167"/>
      <c r="AG432" s="167"/>
      <c r="AH432" s="167"/>
      <c r="AI432" s="167"/>
      <c r="AJ432" s="167"/>
    </row>
    <row r="433" spans="1:36" s="30" customFormat="1" ht="31.2">
      <c r="A433" s="83">
        <f>IF(F433&lt;&gt;"",1+MAX($A$2:A432),"")</f>
        <v>346</v>
      </c>
      <c r="B433" s="84"/>
      <c r="C433" s="85"/>
      <c r="D433" s="58" t="s">
        <v>396</v>
      </c>
      <c r="E433" s="61">
        <v>2</v>
      </c>
      <c r="F433" s="60">
        <v>0</v>
      </c>
      <c r="G433" s="55">
        <f t="shared" si="373"/>
        <v>2</v>
      </c>
      <c r="H433" s="59" t="s">
        <v>71</v>
      </c>
      <c r="I433" s="131">
        <v>3</v>
      </c>
      <c r="J433" s="132">
        <f t="shared" si="374"/>
        <v>6</v>
      </c>
      <c r="K433" s="133">
        <f>'LABOR SHEET'!C$3</f>
        <v>128</v>
      </c>
      <c r="L433" s="134">
        <f t="shared" si="375"/>
        <v>384</v>
      </c>
      <c r="M433" s="134">
        <f t="shared" si="376"/>
        <v>768</v>
      </c>
      <c r="N433" s="134">
        <v>1199</v>
      </c>
      <c r="O433" s="134">
        <f t="shared" si="377"/>
        <v>2398</v>
      </c>
      <c r="P433" s="134">
        <f t="shared" si="378"/>
        <v>1583</v>
      </c>
      <c r="Q433" s="164">
        <f t="shared" si="379"/>
        <v>3166</v>
      </c>
      <c r="R433" s="167"/>
      <c r="S433" s="167"/>
      <c r="T433" s="167"/>
      <c r="U433" s="167"/>
      <c r="V433" s="167"/>
      <c r="W433" s="167"/>
      <c r="X433" s="167"/>
      <c r="Y433" s="167"/>
      <c r="Z433" s="167"/>
      <c r="AA433" s="167"/>
      <c r="AB433" s="167"/>
      <c r="AC433" s="167"/>
      <c r="AD433" s="167"/>
      <c r="AE433" s="167"/>
      <c r="AF433" s="167"/>
      <c r="AG433" s="167"/>
      <c r="AH433" s="167"/>
      <c r="AI433" s="167"/>
      <c r="AJ433" s="167"/>
    </row>
    <row r="434" spans="1:36" s="30" customFormat="1" ht="31.2">
      <c r="A434" s="83">
        <f>IF(F434&lt;&gt;"",1+MAX($A$2:A433),"")</f>
        <v>347</v>
      </c>
      <c r="B434" s="84"/>
      <c r="C434" s="85"/>
      <c r="D434" s="58" t="s">
        <v>397</v>
      </c>
      <c r="E434" s="61">
        <v>1</v>
      </c>
      <c r="F434" s="60">
        <v>0</v>
      </c>
      <c r="G434" s="55">
        <f t="shared" si="373"/>
        <v>1</v>
      </c>
      <c r="H434" s="59" t="s">
        <v>71</v>
      </c>
      <c r="I434" s="131">
        <v>2</v>
      </c>
      <c r="J434" s="132">
        <f t="shared" si="374"/>
        <v>2</v>
      </c>
      <c r="K434" s="133">
        <f>'LABOR SHEET'!C$3</f>
        <v>128</v>
      </c>
      <c r="L434" s="134">
        <f t="shared" si="375"/>
        <v>256</v>
      </c>
      <c r="M434" s="134">
        <f t="shared" si="376"/>
        <v>256</v>
      </c>
      <c r="N434" s="134">
        <v>413</v>
      </c>
      <c r="O434" s="134">
        <f t="shared" si="377"/>
        <v>413</v>
      </c>
      <c r="P434" s="134">
        <f t="shared" si="378"/>
        <v>669</v>
      </c>
      <c r="Q434" s="164">
        <f t="shared" si="379"/>
        <v>669</v>
      </c>
      <c r="R434" s="167"/>
      <c r="S434" s="167"/>
      <c r="T434" s="167"/>
      <c r="U434" s="167"/>
      <c r="V434" s="167"/>
      <c r="W434" s="167"/>
      <c r="X434" s="167"/>
      <c r="Y434" s="167"/>
      <c r="Z434" s="167"/>
      <c r="AA434" s="167"/>
      <c r="AB434" s="167"/>
      <c r="AC434" s="167"/>
      <c r="AD434" s="167"/>
      <c r="AE434" s="167"/>
      <c r="AF434" s="167"/>
      <c r="AG434" s="167"/>
      <c r="AH434" s="167"/>
      <c r="AI434" s="167"/>
      <c r="AJ434" s="167"/>
    </row>
    <row r="435" spans="1:36" s="30" customFormat="1">
      <c r="A435" s="83">
        <f>IF(F435&lt;&gt;"",1+MAX($A$2:A434),"")</f>
        <v>348</v>
      </c>
      <c r="B435" s="84"/>
      <c r="C435" s="85"/>
      <c r="D435" s="58" t="s">
        <v>324</v>
      </c>
      <c r="E435" s="61">
        <v>55</v>
      </c>
      <c r="F435" s="60">
        <v>0</v>
      </c>
      <c r="G435" s="55">
        <f t="shared" si="373"/>
        <v>55</v>
      </c>
      <c r="H435" s="59" t="s">
        <v>71</v>
      </c>
      <c r="I435" s="131">
        <v>0.2</v>
      </c>
      <c r="J435" s="132">
        <f t="shared" si="374"/>
        <v>11</v>
      </c>
      <c r="K435" s="133">
        <f>'LABOR SHEET'!C$3</f>
        <v>128</v>
      </c>
      <c r="L435" s="134">
        <f t="shared" si="375"/>
        <v>25.6</v>
      </c>
      <c r="M435" s="134">
        <f t="shared" si="376"/>
        <v>1408</v>
      </c>
      <c r="N435" s="134">
        <v>13.35</v>
      </c>
      <c r="O435" s="134">
        <f t="shared" si="377"/>
        <v>734.25</v>
      </c>
      <c r="P435" s="134">
        <f t="shared" si="378"/>
        <v>38.950000000000003</v>
      </c>
      <c r="Q435" s="164">
        <f t="shared" si="379"/>
        <v>2142.25</v>
      </c>
      <c r="R435" s="167"/>
      <c r="S435" s="167"/>
      <c r="T435" s="167"/>
      <c r="U435" s="167"/>
      <c r="V435" s="167"/>
      <c r="W435" s="167"/>
      <c r="X435" s="167"/>
      <c r="Y435" s="167"/>
      <c r="Z435" s="167"/>
      <c r="AA435" s="167"/>
      <c r="AB435" s="167"/>
      <c r="AC435" s="167"/>
      <c r="AD435" s="167"/>
      <c r="AE435" s="167"/>
      <c r="AF435" s="167"/>
      <c r="AG435" s="167"/>
      <c r="AH435" s="167"/>
      <c r="AI435" s="167"/>
      <c r="AJ435" s="167"/>
    </row>
    <row r="436" spans="1:36" s="30" customFormat="1">
      <c r="A436" s="83" t="str">
        <f>IF(F436&lt;&gt;"",1+MAX($A$2:A435),"")</f>
        <v/>
      </c>
      <c r="B436" s="84"/>
      <c r="C436" s="85"/>
      <c r="D436" s="58"/>
      <c r="E436" s="61"/>
      <c r="F436" s="86"/>
      <c r="G436" s="87"/>
      <c r="H436" s="59"/>
      <c r="I436" s="131"/>
      <c r="J436" s="132"/>
      <c r="K436" s="133"/>
      <c r="L436" s="134"/>
      <c r="M436" s="134"/>
      <c r="N436" s="134"/>
      <c r="O436" s="134"/>
      <c r="P436" s="134"/>
      <c r="Q436" s="165"/>
      <c r="R436" s="167"/>
      <c r="S436" s="167"/>
      <c r="T436" s="167"/>
      <c r="U436" s="167"/>
      <c r="V436" s="167"/>
      <c r="W436" s="167"/>
      <c r="X436" s="167"/>
      <c r="Y436" s="167"/>
      <c r="Z436" s="167"/>
      <c r="AA436" s="167"/>
      <c r="AB436" s="167"/>
      <c r="AC436" s="167"/>
      <c r="AD436" s="167"/>
      <c r="AE436" s="167"/>
      <c r="AF436" s="167"/>
      <c r="AG436" s="167"/>
      <c r="AH436" s="167"/>
      <c r="AI436" s="167"/>
      <c r="AJ436" s="167"/>
    </row>
    <row r="437" spans="1:36" s="30" customFormat="1">
      <c r="A437" s="83" t="str">
        <f>IF(F437&lt;&gt;"",1+MAX($A$2:A436),"")</f>
        <v/>
      </c>
      <c r="B437" s="84"/>
      <c r="C437" s="85"/>
      <c r="D437" s="49" t="s">
        <v>398</v>
      </c>
      <c r="E437" s="61"/>
      <c r="F437" s="86"/>
      <c r="G437" s="87"/>
      <c r="H437" s="59"/>
      <c r="I437" s="131"/>
      <c r="J437" s="132"/>
      <c r="K437" s="133"/>
      <c r="L437" s="134"/>
      <c r="M437" s="134"/>
      <c r="N437" s="134"/>
      <c r="O437" s="134"/>
      <c r="P437" s="134"/>
      <c r="Q437" s="165"/>
      <c r="R437" s="167"/>
      <c r="S437" s="167"/>
      <c r="T437" s="167"/>
      <c r="U437" s="167"/>
      <c r="V437" s="167"/>
      <c r="W437" s="167"/>
      <c r="X437" s="167"/>
      <c r="Y437" s="167"/>
      <c r="Z437" s="167"/>
      <c r="AA437" s="167"/>
      <c r="AB437" s="167"/>
      <c r="AC437" s="167"/>
      <c r="AD437" s="167"/>
      <c r="AE437" s="167"/>
      <c r="AF437" s="167"/>
      <c r="AG437" s="167"/>
      <c r="AH437" s="167"/>
      <c r="AI437" s="167"/>
      <c r="AJ437" s="167"/>
    </row>
    <row r="438" spans="1:36" s="30" customFormat="1">
      <c r="A438" s="83" t="str">
        <f>IF(F438&lt;&gt;"",1+MAX($A$2:A437),"")</f>
        <v/>
      </c>
      <c r="B438" s="84"/>
      <c r="C438" s="85"/>
      <c r="D438" s="79" t="s">
        <v>283</v>
      </c>
      <c r="E438" s="61"/>
      <c r="F438" s="86"/>
      <c r="G438" s="87"/>
      <c r="H438" s="59"/>
      <c r="I438" s="131"/>
      <c r="J438" s="132"/>
      <c r="K438" s="133"/>
      <c r="L438" s="134"/>
      <c r="M438" s="134"/>
      <c r="N438" s="134"/>
      <c r="O438" s="134"/>
      <c r="P438" s="134"/>
      <c r="Q438" s="165"/>
      <c r="R438" s="167"/>
      <c r="S438" s="167"/>
      <c r="T438" s="167"/>
      <c r="U438" s="167"/>
      <c r="V438" s="167"/>
      <c r="W438" s="167"/>
      <c r="X438" s="167"/>
      <c r="Y438" s="167"/>
      <c r="Z438" s="167"/>
      <c r="AA438" s="167"/>
      <c r="AB438" s="167"/>
      <c r="AC438" s="167"/>
      <c r="AD438" s="167"/>
      <c r="AE438" s="167"/>
      <c r="AF438" s="167"/>
      <c r="AG438" s="167"/>
      <c r="AH438" s="167"/>
      <c r="AI438" s="167"/>
      <c r="AJ438" s="167"/>
    </row>
    <row r="439" spans="1:36" s="30" customFormat="1">
      <c r="A439" s="83">
        <f>IF(F439&lt;&gt;"",1+MAX($A$2:A438),"")</f>
        <v>349</v>
      </c>
      <c r="B439" s="84"/>
      <c r="C439" s="85"/>
      <c r="D439" s="58" t="s">
        <v>157</v>
      </c>
      <c r="E439" s="61">
        <v>477.8</v>
      </c>
      <c r="F439" s="60">
        <v>0.05</v>
      </c>
      <c r="G439" s="55">
        <f>(F439*E439)+E439</f>
        <v>501.69</v>
      </c>
      <c r="H439" s="59" t="s">
        <v>54</v>
      </c>
      <c r="I439" s="131">
        <v>3.5000000000000003E-2</v>
      </c>
      <c r="J439" s="132">
        <f t="shared" ref="J439" si="392">+I439*G439</f>
        <v>17.559149999999999</v>
      </c>
      <c r="K439" s="133">
        <f>'LABOR SHEET'!C$3</f>
        <v>128</v>
      </c>
      <c r="L439" s="134">
        <f t="shared" ref="L439" si="393">I439*K439</f>
        <v>4.4800000000000004</v>
      </c>
      <c r="M439" s="134">
        <f t="shared" ref="M439" si="394">K439*J439</f>
        <v>2247.5711999999999</v>
      </c>
      <c r="N439" s="134">
        <f>9.68/10+0.35</f>
        <v>1.3180000000000001</v>
      </c>
      <c r="O439" s="134">
        <f t="shared" ref="O439" si="395">N439*G439</f>
        <v>661.22742000000005</v>
      </c>
      <c r="P439" s="134">
        <f t="shared" ref="P439" si="396">(I439*K439)+N439</f>
        <v>5.798</v>
      </c>
      <c r="Q439" s="164">
        <f t="shared" ref="Q439" si="397">P439*G439</f>
        <v>2908.79862</v>
      </c>
      <c r="R439" s="167"/>
      <c r="S439" s="167"/>
      <c r="T439" s="167"/>
      <c r="U439" s="167"/>
      <c r="V439" s="167"/>
      <c r="W439" s="167"/>
      <c r="X439" s="167"/>
      <c r="Y439" s="167"/>
      <c r="Z439" s="167"/>
      <c r="AA439" s="167"/>
      <c r="AB439" s="167"/>
      <c r="AC439" s="167"/>
      <c r="AD439" s="167"/>
      <c r="AE439" s="167"/>
      <c r="AF439" s="167"/>
      <c r="AG439" s="167"/>
      <c r="AH439" s="167"/>
      <c r="AI439" s="167"/>
      <c r="AJ439" s="167"/>
    </row>
    <row r="440" spans="1:36" s="30" customFormat="1">
      <c r="A440" s="83" t="str">
        <f>IF(F440&lt;&gt;"",1+MAX($A$2:A439),"")</f>
        <v/>
      </c>
      <c r="B440" s="84"/>
      <c r="C440" s="85"/>
      <c r="D440" s="58"/>
      <c r="E440" s="61"/>
      <c r="F440" s="86"/>
      <c r="G440" s="87"/>
      <c r="H440" s="59"/>
      <c r="I440" s="131"/>
      <c r="J440" s="132"/>
      <c r="K440" s="133"/>
      <c r="L440" s="134"/>
      <c r="M440" s="134"/>
      <c r="N440" s="134"/>
      <c r="O440" s="134"/>
      <c r="P440" s="134"/>
      <c r="Q440" s="165"/>
      <c r="R440" s="167"/>
      <c r="S440" s="167"/>
      <c r="T440" s="167"/>
      <c r="U440" s="167"/>
      <c r="V440" s="167"/>
      <c r="W440" s="167"/>
      <c r="X440" s="167"/>
      <c r="Y440" s="167"/>
      <c r="Z440" s="167"/>
      <c r="AA440" s="167"/>
      <c r="AB440" s="167"/>
      <c r="AC440" s="167"/>
      <c r="AD440" s="167"/>
      <c r="AE440" s="167"/>
      <c r="AF440" s="167"/>
      <c r="AG440" s="167"/>
      <c r="AH440" s="167"/>
      <c r="AI440" s="167"/>
      <c r="AJ440" s="167"/>
    </row>
    <row r="441" spans="1:36" s="30" customFormat="1">
      <c r="A441" s="83" t="str">
        <f>IF(F441&lt;&gt;"",1+MAX($A$2:A440),"")</f>
        <v/>
      </c>
      <c r="B441" s="84"/>
      <c r="C441" s="85"/>
      <c r="D441" s="79" t="s">
        <v>284</v>
      </c>
      <c r="E441" s="61"/>
      <c r="F441" s="86"/>
      <c r="G441" s="87"/>
      <c r="H441" s="59"/>
      <c r="I441" s="131"/>
      <c r="J441" s="132"/>
      <c r="K441" s="133"/>
      <c r="L441" s="134"/>
      <c r="M441" s="134"/>
      <c r="N441" s="134"/>
      <c r="O441" s="134"/>
      <c r="P441" s="134"/>
      <c r="Q441" s="165"/>
      <c r="R441" s="167"/>
      <c r="S441" s="167"/>
      <c r="T441" s="167"/>
      <c r="U441" s="167"/>
      <c r="V441" s="167"/>
      <c r="W441" s="167"/>
      <c r="X441" s="167"/>
      <c r="Y441" s="167"/>
      <c r="Z441" s="167"/>
      <c r="AA441" s="167"/>
      <c r="AB441" s="167"/>
      <c r="AC441" s="167"/>
      <c r="AD441" s="167"/>
      <c r="AE441" s="167"/>
      <c r="AF441" s="167"/>
      <c r="AG441" s="167"/>
      <c r="AH441" s="167"/>
      <c r="AI441" s="167"/>
      <c r="AJ441" s="167"/>
    </row>
    <row r="442" spans="1:36" s="30" customFormat="1">
      <c r="A442" s="83">
        <f>IF(F442&lt;&gt;"",1+MAX($A$2:A441),"")</f>
        <v>350</v>
      </c>
      <c r="B442" s="84"/>
      <c r="C442" s="85"/>
      <c r="D442" s="58" t="s">
        <v>160</v>
      </c>
      <c r="E442" s="61">
        <v>955.6</v>
      </c>
      <c r="F442" s="60">
        <v>0.05</v>
      </c>
      <c r="G442" s="55">
        <f t="shared" ref="G442:G448" si="398">(F442*E442)+E442</f>
        <v>1003.38</v>
      </c>
      <c r="H442" s="59" t="s">
        <v>54</v>
      </c>
      <c r="I442" s="131">
        <v>8.0000000000000002E-3</v>
      </c>
      <c r="J442" s="132">
        <f t="shared" ref="J442" si="399">+I442*G442</f>
        <v>8.0270399999999995</v>
      </c>
      <c r="K442" s="133">
        <f>'LABOR SHEET'!C$3</f>
        <v>128</v>
      </c>
      <c r="L442" s="134">
        <f t="shared" ref="L442" si="400">I442*K442</f>
        <v>1.024</v>
      </c>
      <c r="M442" s="134">
        <f t="shared" ref="M442" si="401">K442*J442</f>
        <v>1027.4611199999999</v>
      </c>
      <c r="N442" s="134">
        <f>90/500</f>
        <v>0.18</v>
      </c>
      <c r="O442" s="134">
        <f t="shared" ref="O442" si="402">N442*G442</f>
        <v>180.60839999999999</v>
      </c>
      <c r="P442" s="134">
        <f t="shared" ref="P442" si="403">(I442*K442)+N442</f>
        <v>1.204</v>
      </c>
      <c r="Q442" s="164">
        <f t="shared" ref="Q442" si="404">P442*G442</f>
        <v>1208.06952</v>
      </c>
      <c r="R442" s="167"/>
      <c r="S442" s="167"/>
      <c r="T442" s="167"/>
      <c r="U442" s="167"/>
      <c r="V442" s="167"/>
      <c r="W442" s="167"/>
      <c r="X442" s="167"/>
      <c r="Y442" s="167"/>
      <c r="Z442" s="167"/>
      <c r="AA442" s="167"/>
      <c r="AB442" s="167"/>
      <c r="AC442" s="167"/>
      <c r="AD442" s="167"/>
      <c r="AE442" s="167"/>
      <c r="AF442" s="167"/>
      <c r="AG442" s="167"/>
      <c r="AH442" s="167"/>
      <c r="AI442" s="167"/>
      <c r="AJ442" s="167"/>
    </row>
    <row r="443" spans="1:36" s="30" customFormat="1">
      <c r="A443" s="83" t="str">
        <f>IF(F443&lt;&gt;"",1+MAX($A$2:A442),"")</f>
        <v/>
      </c>
      <c r="B443" s="84"/>
      <c r="C443" s="85"/>
      <c r="D443" s="58"/>
      <c r="E443" s="61"/>
      <c r="F443" s="86"/>
      <c r="G443" s="87"/>
      <c r="H443" s="59"/>
      <c r="I443" s="131"/>
      <c r="J443" s="132"/>
      <c r="K443" s="133"/>
      <c r="L443" s="134"/>
      <c r="M443" s="134"/>
      <c r="N443" s="134"/>
      <c r="O443" s="134"/>
      <c r="P443" s="134"/>
      <c r="Q443" s="165"/>
      <c r="R443" s="167"/>
      <c r="S443" s="167"/>
      <c r="T443" s="167"/>
      <c r="U443" s="167"/>
      <c r="V443" s="167"/>
      <c r="W443" s="167"/>
      <c r="X443" s="167"/>
      <c r="Y443" s="167"/>
      <c r="Z443" s="167"/>
      <c r="AA443" s="167"/>
      <c r="AB443" s="167"/>
      <c r="AC443" s="167"/>
      <c r="AD443" s="167"/>
      <c r="AE443" s="167"/>
      <c r="AF443" s="167"/>
      <c r="AG443" s="167"/>
      <c r="AH443" s="167"/>
      <c r="AI443" s="167"/>
      <c r="AJ443" s="167"/>
    </row>
    <row r="444" spans="1:36" s="30" customFormat="1">
      <c r="A444" s="83" t="str">
        <f>IF(F444&lt;&gt;"",1+MAX($A$2:A443),"")</f>
        <v/>
      </c>
      <c r="B444" s="84"/>
      <c r="C444" s="85"/>
      <c r="D444" s="79" t="s">
        <v>289</v>
      </c>
      <c r="E444" s="61"/>
      <c r="F444" s="86"/>
      <c r="G444" s="87"/>
      <c r="H444" s="59"/>
      <c r="I444" s="131"/>
      <c r="J444" s="132"/>
      <c r="K444" s="133"/>
      <c r="L444" s="134"/>
      <c r="M444" s="134"/>
      <c r="N444" s="134"/>
      <c r="O444" s="134"/>
      <c r="P444" s="134"/>
      <c r="Q444" s="165"/>
      <c r="R444" s="167"/>
      <c r="S444" s="167"/>
      <c r="T444" s="167"/>
      <c r="U444" s="167"/>
      <c r="V444" s="167"/>
      <c r="W444" s="167"/>
      <c r="X444" s="167"/>
      <c r="Y444" s="167"/>
      <c r="Z444" s="167"/>
      <c r="AA444" s="167"/>
      <c r="AB444" s="167"/>
      <c r="AC444" s="167"/>
      <c r="AD444" s="167"/>
      <c r="AE444" s="167"/>
      <c r="AF444" s="167"/>
      <c r="AG444" s="167"/>
      <c r="AH444" s="167"/>
      <c r="AI444" s="167"/>
      <c r="AJ444" s="167"/>
    </row>
    <row r="445" spans="1:36" s="30" customFormat="1" ht="31.2">
      <c r="A445" s="83">
        <f>IF(F445&lt;&gt;"",1+MAX($A$2:A444),"")</f>
        <v>351</v>
      </c>
      <c r="B445" s="84"/>
      <c r="C445" s="85"/>
      <c r="D445" s="182" t="s">
        <v>399</v>
      </c>
      <c r="E445" s="61">
        <v>3</v>
      </c>
      <c r="F445" s="60">
        <v>0</v>
      </c>
      <c r="G445" s="55">
        <f t="shared" si="398"/>
        <v>3</v>
      </c>
      <c r="H445" s="59" t="s">
        <v>71</v>
      </c>
      <c r="I445" s="131">
        <v>40</v>
      </c>
      <c r="J445" s="132">
        <f t="shared" ref="J445:J448" si="405">+I445*G445</f>
        <v>120</v>
      </c>
      <c r="K445" s="133">
        <f>'LABOR SHEET'!C$3</f>
        <v>128</v>
      </c>
      <c r="L445" s="134">
        <f t="shared" ref="L445:L448" si="406">I445*K445</f>
        <v>5120</v>
      </c>
      <c r="M445" s="134">
        <f t="shared" ref="M445:M448" si="407">K445*J445</f>
        <v>15360</v>
      </c>
      <c r="N445" s="134">
        <v>18200</v>
      </c>
      <c r="O445" s="134">
        <f t="shared" ref="O445:O448" si="408">N445*G445</f>
        <v>54600</v>
      </c>
      <c r="P445" s="134">
        <f t="shared" ref="P445:P448" si="409">(I445*K445)+N445</f>
        <v>23320</v>
      </c>
      <c r="Q445" s="164">
        <f t="shared" ref="Q445:Q448" si="410">P445*G445</f>
        <v>69960</v>
      </c>
      <c r="R445" s="167"/>
      <c r="S445" s="167"/>
      <c r="T445" s="167"/>
      <c r="U445" s="167"/>
      <c r="V445" s="167"/>
      <c r="W445" s="167"/>
      <c r="X445" s="167"/>
      <c r="Y445" s="167"/>
      <c r="Z445" s="167"/>
      <c r="AA445" s="167"/>
      <c r="AB445" s="167"/>
      <c r="AC445" s="167"/>
      <c r="AD445" s="167"/>
      <c r="AE445" s="167"/>
      <c r="AF445" s="167"/>
      <c r="AG445" s="167"/>
      <c r="AH445" s="167"/>
      <c r="AI445" s="167"/>
      <c r="AJ445" s="167"/>
    </row>
    <row r="446" spans="1:36" s="30" customFormat="1">
      <c r="A446" s="83">
        <f>IF(F446&lt;&gt;"",1+MAX($A$2:A445),"")</f>
        <v>352</v>
      </c>
      <c r="B446" s="84"/>
      <c r="C446" s="85"/>
      <c r="D446" s="58" t="s">
        <v>400</v>
      </c>
      <c r="E446" s="61">
        <v>1</v>
      </c>
      <c r="F446" s="60">
        <v>0</v>
      </c>
      <c r="G446" s="55">
        <f t="shared" si="398"/>
        <v>1</v>
      </c>
      <c r="H446" s="59" t="s">
        <v>71</v>
      </c>
      <c r="I446" s="131">
        <v>3.5</v>
      </c>
      <c r="J446" s="132">
        <f t="shared" si="405"/>
        <v>3.5</v>
      </c>
      <c r="K446" s="133">
        <f>'LABOR SHEET'!C$3</f>
        <v>128</v>
      </c>
      <c r="L446" s="134">
        <f t="shared" si="406"/>
        <v>448</v>
      </c>
      <c r="M446" s="134">
        <f t="shared" si="407"/>
        <v>448</v>
      </c>
      <c r="N446" s="134">
        <v>738.2</v>
      </c>
      <c r="O446" s="134">
        <f t="shared" si="408"/>
        <v>738.2</v>
      </c>
      <c r="P446" s="134">
        <f t="shared" si="409"/>
        <v>1186.2</v>
      </c>
      <c r="Q446" s="164">
        <f t="shared" si="410"/>
        <v>1186.2</v>
      </c>
      <c r="R446" s="167"/>
      <c r="S446" s="167"/>
      <c r="T446" s="167"/>
      <c r="U446" s="167"/>
      <c r="V446" s="167"/>
      <c r="W446" s="167"/>
      <c r="X446" s="167"/>
      <c r="Y446" s="167"/>
      <c r="Z446" s="167"/>
      <c r="AA446" s="167"/>
      <c r="AB446" s="167"/>
      <c r="AC446" s="167"/>
      <c r="AD446" s="167"/>
      <c r="AE446" s="167"/>
      <c r="AF446" s="167"/>
      <c r="AG446" s="167"/>
      <c r="AH446" s="167"/>
      <c r="AI446" s="167"/>
      <c r="AJ446" s="167"/>
    </row>
    <row r="447" spans="1:36" s="30" customFormat="1" ht="31.2">
      <c r="A447" s="83">
        <f>IF(F447&lt;&gt;"",1+MAX($A$2:A446),"")</f>
        <v>353</v>
      </c>
      <c r="B447" s="84"/>
      <c r="C447" s="85"/>
      <c r="D447" s="58" t="s">
        <v>401</v>
      </c>
      <c r="E447" s="61">
        <v>1</v>
      </c>
      <c r="F447" s="60">
        <v>0</v>
      </c>
      <c r="G447" s="55">
        <f t="shared" si="398"/>
        <v>1</v>
      </c>
      <c r="H447" s="59" t="s">
        <v>71</v>
      </c>
      <c r="I447" s="131">
        <v>5</v>
      </c>
      <c r="J447" s="132">
        <f t="shared" si="405"/>
        <v>5</v>
      </c>
      <c r="K447" s="133">
        <f>'LABOR SHEET'!C$3</f>
        <v>128</v>
      </c>
      <c r="L447" s="134">
        <f t="shared" si="406"/>
        <v>640</v>
      </c>
      <c r="M447" s="134">
        <f t="shared" si="407"/>
        <v>640</v>
      </c>
      <c r="N447" s="134">
        <v>924.3</v>
      </c>
      <c r="O447" s="134">
        <f t="shared" si="408"/>
        <v>924.3</v>
      </c>
      <c r="P447" s="134">
        <f t="shared" si="409"/>
        <v>1564.3</v>
      </c>
      <c r="Q447" s="164">
        <f t="shared" si="410"/>
        <v>1564.3</v>
      </c>
      <c r="R447" s="167"/>
      <c r="S447" s="167"/>
      <c r="T447" s="167"/>
      <c r="U447" s="167"/>
      <c r="V447" s="167"/>
      <c r="W447" s="167"/>
      <c r="X447" s="167"/>
      <c r="Y447" s="167"/>
      <c r="Z447" s="167"/>
      <c r="AA447" s="167"/>
      <c r="AB447" s="167"/>
      <c r="AC447" s="167"/>
      <c r="AD447" s="167"/>
      <c r="AE447" s="167"/>
      <c r="AF447" s="167"/>
      <c r="AG447" s="167"/>
      <c r="AH447" s="167"/>
      <c r="AI447" s="167"/>
      <c r="AJ447" s="167"/>
    </row>
    <row r="448" spans="1:36" s="30" customFormat="1">
      <c r="A448" s="83">
        <f>IF(F448&lt;&gt;"",1+MAX($A$2:A447),"")</f>
        <v>354</v>
      </c>
      <c r="B448" s="84"/>
      <c r="C448" s="85"/>
      <c r="D448" s="58" t="s">
        <v>324</v>
      </c>
      <c r="E448" s="61">
        <v>1</v>
      </c>
      <c r="F448" s="60">
        <v>0</v>
      </c>
      <c r="G448" s="55">
        <f t="shared" si="398"/>
        <v>1</v>
      </c>
      <c r="H448" s="59" t="s">
        <v>71</v>
      </c>
      <c r="I448" s="131">
        <v>0.2</v>
      </c>
      <c r="J448" s="132">
        <f t="shared" si="405"/>
        <v>0.2</v>
      </c>
      <c r="K448" s="133">
        <f>'LABOR SHEET'!C$3</f>
        <v>128</v>
      </c>
      <c r="L448" s="134">
        <f t="shared" si="406"/>
        <v>25.6</v>
      </c>
      <c r="M448" s="134">
        <f t="shared" si="407"/>
        <v>25.6</v>
      </c>
      <c r="N448" s="134">
        <v>13.35</v>
      </c>
      <c r="O448" s="134">
        <f t="shared" si="408"/>
        <v>13.35</v>
      </c>
      <c r="P448" s="134">
        <f t="shared" si="409"/>
        <v>38.950000000000003</v>
      </c>
      <c r="Q448" s="164">
        <f t="shared" si="410"/>
        <v>38.950000000000003</v>
      </c>
      <c r="R448" s="167"/>
      <c r="S448" s="167"/>
      <c r="T448" s="167"/>
      <c r="U448" s="167"/>
      <c r="V448" s="167"/>
      <c r="W448" s="167"/>
      <c r="X448" s="167"/>
      <c r="Y448" s="167"/>
      <c r="Z448" s="167"/>
      <c r="AA448" s="167"/>
      <c r="AB448" s="167"/>
      <c r="AC448" s="167"/>
      <c r="AD448" s="167"/>
      <c r="AE448" s="167"/>
      <c r="AF448" s="167"/>
      <c r="AG448" s="167"/>
      <c r="AH448" s="167"/>
      <c r="AI448" s="167"/>
      <c r="AJ448" s="167"/>
    </row>
    <row r="449" spans="1:36" s="30" customFormat="1">
      <c r="A449" s="83" t="str">
        <f>IF(F449&lt;&gt;"",1+MAX($A$2:A448),"")</f>
        <v/>
      </c>
      <c r="B449" s="84"/>
      <c r="C449" s="191"/>
      <c r="D449" s="192"/>
      <c r="E449" s="193"/>
      <c r="F449" s="194"/>
      <c r="G449" s="195"/>
      <c r="H449" s="196"/>
      <c r="I449" s="198"/>
      <c r="J449" s="199"/>
      <c r="K449" s="200"/>
      <c r="L449" s="201"/>
      <c r="M449" s="202"/>
      <c r="N449" s="201"/>
      <c r="O449" s="201"/>
      <c r="P449" s="201"/>
      <c r="Q449" s="203"/>
      <c r="R449" s="167"/>
      <c r="S449" s="167"/>
      <c r="T449" s="167"/>
      <c r="U449" s="167"/>
      <c r="V449" s="167"/>
      <c r="W449" s="167"/>
      <c r="X449" s="167"/>
      <c r="Y449" s="167"/>
      <c r="Z449" s="167"/>
      <c r="AA449" s="167"/>
      <c r="AB449" s="167"/>
      <c r="AC449" s="167"/>
      <c r="AD449" s="167"/>
      <c r="AE449" s="167"/>
      <c r="AF449" s="167"/>
      <c r="AG449" s="167"/>
      <c r="AH449" s="167"/>
      <c r="AI449" s="167"/>
      <c r="AJ449" s="167"/>
    </row>
    <row r="450" spans="1:36" s="30" customFormat="1">
      <c r="A450" s="83" t="str">
        <f>IF(F450&lt;&gt;"",1+MAX($A$2:A449),"")</f>
        <v/>
      </c>
      <c r="B450" s="84"/>
      <c r="C450" s="85"/>
      <c r="D450" s="49" t="s">
        <v>402</v>
      </c>
      <c r="E450" s="61"/>
      <c r="F450" s="86"/>
      <c r="G450" s="87"/>
      <c r="H450" s="59"/>
      <c r="I450" s="131"/>
      <c r="J450" s="132"/>
      <c r="K450" s="133"/>
      <c r="L450" s="134"/>
      <c r="M450" s="134"/>
      <c r="N450" s="134"/>
      <c r="O450" s="134"/>
      <c r="P450" s="134"/>
      <c r="Q450" s="165"/>
      <c r="R450" s="167"/>
      <c r="S450" s="167"/>
      <c r="T450" s="167"/>
      <c r="U450" s="167"/>
      <c r="V450" s="167"/>
      <c r="W450" s="167"/>
      <c r="X450" s="167"/>
      <c r="Y450" s="167"/>
      <c r="Z450" s="167"/>
      <c r="AA450" s="167"/>
      <c r="AB450" s="167"/>
      <c r="AC450" s="167"/>
      <c r="AD450" s="167"/>
      <c r="AE450" s="167"/>
      <c r="AF450" s="167"/>
      <c r="AG450" s="167"/>
      <c r="AH450" s="167"/>
      <c r="AI450" s="167"/>
      <c r="AJ450" s="167"/>
    </row>
    <row r="451" spans="1:36" s="30" customFormat="1" ht="46.8">
      <c r="A451" s="83" t="str">
        <f>IF(F451&lt;&gt;"",1+MAX($A$2:A450),"")</f>
        <v/>
      </c>
      <c r="B451" s="84"/>
      <c r="C451" s="85"/>
      <c r="D451" s="197" t="s">
        <v>403</v>
      </c>
      <c r="E451" s="61"/>
      <c r="F451" s="60"/>
      <c r="G451" s="55"/>
      <c r="H451" s="59"/>
      <c r="I451" s="131"/>
      <c r="J451" s="132"/>
      <c r="K451" s="133"/>
      <c r="L451" s="134"/>
      <c r="M451" s="134"/>
      <c r="N451" s="134"/>
      <c r="O451" s="134"/>
      <c r="P451" s="134"/>
      <c r="Q451" s="164"/>
      <c r="R451" s="167"/>
      <c r="S451" s="167"/>
      <c r="T451" s="167"/>
      <c r="U451" s="167"/>
      <c r="V451" s="167"/>
      <c r="W451" s="167"/>
      <c r="X451" s="167"/>
      <c r="Y451" s="167"/>
      <c r="Z451" s="167"/>
      <c r="AA451" s="167"/>
      <c r="AB451" s="167"/>
      <c r="AC451" s="167"/>
      <c r="AD451" s="167"/>
      <c r="AE451" s="167"/>
      <c r="AF451" s="167"/>
      <c r="AG451" s="167"/>
      <c r="AH451" s="167"/>
      <c r="AI451" s="167"/>
      <c r="AJ451" s="167"/>
    </row>
    <row r="452" spans="1:36" s="30" customFormat="1">
      <c r="A452" s="83" t="str">
        <f>IF(F452&lt;&gt;"",1+MAX($A$2:A451),"")</f>
        <v/>
      </c>
      <c r="B452" s="84"/>
      <c r="C452" s="85"/>
      <c r="D452" s="58"/>
      <c r="E452" s="61"/>
      <c r="F452" s="86"/>
      <c r="G452" s="87"/>
      <c r="H452" s="59"/>
      <c r="I452" s="131"/>
      <c r="J452" s="132"/>
      <c r="K452" s="133"/>
      <c r="L452" s="134"/>
      <c r="M452" s="134"/>
      <c r="N452" s="134"/>
      <c r="O452" s="134"/>
      <c r="P452" s="134"/>
      <c r="Q452" s="165"/>
      <c r="R452" s="167"/>
      <c r="S452" s="167"/>
      <c r="T452" s="167"/>
      <c r="U452" s="167"/>
      <c r="V452" s="167"/>
      <c r="W452" s="167"/>
      <c r="X452" s="167"/>
      <c r="Y452" s="167"/>
      <c r="Z452" s="167"/>
      <c r="AA452" s="167"/>
      <c r="AB452" s="167"/>
      <c r="AC452" s="167"/>
      <c r="AD452" s="167"/>
      <c r="AE452" s="167"/>
      <c r="AF452" s="167"/>
      <c r="AG452" s="167"/>
      <c r="AH452" s="167"/>
      <c r="AI452" s="167"/>
      <c r="AJ452" s="167"/>
    </row>
    <row r="453" spans="1:36" s="30" customFormat="1">
      <c r="A453" s="83" t="str">
        <f>IF(F453&lt;&gt;"",1+MAX($A$2:A452),"")</f>
        <v/>
      </c>
      <c r="B453" s="84"/>
      <c r="C453" s="179"/>
      <c r="D453" s="71" t="s">
        <v>48</v>
      </c>
      <c r="E453" s="180"/>
      <c r="F453" s="180"/>
      <c r="G453" s="181"/>
      <c r="H453" s="180"/>
      <c r="I453" s="180"/>
      <c r="J453" s="187"/>
      <c r="K453" s="187"/>
      <c r="L453" s="188"/>
      <c r="M453" s="189"/>
      <c r="N453" s="188"/>
      <c r="O453" s="188"/>
      <c r="P453" s="190"/>
      <c r="Q453" s="159">
        <f>SUM(Q378:Q452)</f>
        <v>251546.67405900001</v>
      </c>
      <c r="S453" s="162"/>
    </row>
    <row r="454" spans="1:36" s="27" customFormat="1">
      <c r="A454" s="68" t="str">
        <f>IF(F454&lt;&gt;"",1+MAX($A$2:A453),"")</f>
        <v/>
      </c>
      <c r="B454" s="69"/>
      <c r="C454" s="70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161"/>
      <c r="R454" s="160"/>
    </row>
    <row r="455" spans="1:36" s="31" customFormat="1" ht="31.2">
      <c r="A455" s="83"/>
      <c r="B455" s="93"/>
      <c r="C455" s="94"/>
      <c r="D455" s="93"/>
      <c r="E455" s="93"/>
      <c r="F455" s="93"/>
      <c r="G455" s="95"/>
      <c r="H455" s="244" t="s">
        <v>404</v>
      </c>
      <c r="I455" s="244"/>
      <c r="J455" s="142">
        <f>SUM(J17:J454)</f>
        <v>8409.0503064999994</v>
      </c>
      <c r="K455" s="245" t="s">
        <v>34</v>
      </c>
      <c r="L455" s="245"/>
      <c r="M455" s="143">
        <f>SUM(M17:M454)</f>
        <v>1076358.4392319999</v>
      </c>
      <c r="N455" s="144" t="s">
        <v>36</v>
      </c>
      <c r="O455" s="145">
        <f>SUM(O17:O454)</f>
        <v>1560967.3096779501</v>
      </c>
      <c r="P455" s="94"/>
      <c r="Q455" s="169"/>
      <c r="S455" s="170"/>
    </row>
    <row r="456" spans="1:36" s="31" customFormat="1">
      <c r="A456" s="96"/>
      <c r="B456" s="97"/>
      <c r="C456" s="98"/>
      <c r="D456" s="99" t="s">
        <v>405</v>
      </c>
      <c r="E456" s="100"/>
      <c r="F456" s="100"/>
      <c r="G456" s="101"/>
      <c r="H456" s="102"/>
      <c r="I456" s="102"/>
      <c r="J456" s="102"/>
      <c r="K456" s="102"/>
      <c r="L456" s="146"/>
      <c r="M456" s="146"/>
      <c r="N456" s="146"/>
      <c r="O456" s="146"/>
      <c r="P456" s="147"/>
      <c r="Q456" s="171">
        <f>SUM(Q8:Q454)/2</f>
        <v>2821325.7489099498</v>
      </c>
    </row>
    <row r="457" spans="1:36" s="31" customFormat="1">
      <c r="A457" s="103"/>
      <c r="B457" s="97"/>
      <c r="C457" s="104"/>
      <c r="D457" s="105" t="s">
        <v>9</v>
      </c>
      <c r="E457" s="106"/>
      <c r="F457" s="107"/>
      <c r="G457" s="106"/>
      <c r="H457" s="107"/>
      <c r="I457" s="107"/>
      <c r="J457" s="107"/>
      <c r="K457" s="107"/>
      <c r="L457" s="148">
        <v>0.05</v>
      </c>
      <c r="M457" s="148"/>
      <c r="N457" s="148"/>
      <c r="O457" s="148"/>
      <c r="P457" s="148"/>
      <c r="Q457" s="171">
        <f>Q456*L457</f>
        <v>141066.287445497</v>
      </c>
      <c r="R457" s="172"/>
      <c r="S457" s="172"/>
      <c r="T457" s="172"/>
      <c r="U457" s="172"/>
      <c r="V457" s="172"/>
      <c r="W457" s="172"/>
      <c r="X457" s="172"/>
      <c r="Y457" s="172"/>
      <c r="Z457" s="172"/>
      <c r="AA457" s="172"/>
      <c r="AB457" s="172"/>
      <c r="AC457" s="172"/>
      <c r="AD457" s="172"/>
      <c r="AE457" s="172"/>
      <c r="AF457" s="172"/>
      <c r="AG457" s="172"/>
      <c r="AH457" s="172"/>
      <c r="AI457" s="172"/>
      <c r="AJ457" s="172"/>
    </row>
    <row r="458" spans="1:36" s="31" customFormat="1">
      <c r="A458" s="108"/>
      <c r="B458" s="109"/>
      <c r="C458" s="110"/>
      <c r="D458" s="111" t="s">
        <v>406</v>
      </c>
      <c r="E458" s="112"/>
      <c r="F458" s="113"/>
      <c r="G458" s="112"/>
      <c r="H458" s="113"/>
      <c r="I458" s="113"/>
      <c r="J458" s="113"/>
      <c r="K458" s="113"/>
      <c r="L458" s="149">
        <v>0.2</v>
      </c>
      <c r="M458" s="149"/>
      <c r="N458" s="149"/>
      <c r="O458" s="149"/>
      <c r="P458" s="149"/>
      <c r="Q458" s="173">
        <f>O455*L458</f>
        <v>312193.46193559002</v>
      </c>
      <c r="R458" s="172"/>
      <c r="S458" s="172"/>
      <c r="T458" s="172"/>
      <c r="U458" s="172"/>
      <c r="V458" s="172"/>
      <c r="W458" s="172"/>
      <c r="X458" s="172"/>
      <c r="Y458" s="172"/>
      <c r="Z458" s="172"/>
      <c r="AA458" s="172"/>
      <c r="AB458" s="172"/>
      <c r="AC458" s="172"/>
      <c r="AD458" s="172"/>
      <c r="AE458" s="172"/>
      <c r="AF458" s="172"/>
      <c r="AG458" s="172"/>
      <c r="AH458" s="172"/>
      <c r="AI458" s="172"/>
      <c r="AJ458" s="172"/>
    </row>
    <row r="459" spans="1:36" s="31" customFormat="1">
      <c r="A459" s="108"/>
      <c r="B459" s="109"/>
      <c r="C459" s="110"/>
      <c r="D459" s="111" t="s">
        <v>407</v>
      </c>
      <c r="E459" s="112"/>
      <c r="F459" s="113"/>
      <c r="G459" s="112"/>
      <c r="H459" s="113"/>
      <c r="I459" s="113"/>
      <c r="J459" s="113"/>
      <c r="K459" s="113"/>
      <c r="L459" s="149">
        <v>0.31</v>
      </c>
      <c r="M459" s="149"/>
      <c r="N459" s="149"/>
      <c r="O459" s="149"/>
      <c r="P459" s="149"/>
      <c r="Q459" s="173">
        <f>M455*L459</f>
        <v>333671.11616192001</v>
      </c>
      <c r="R459" s="172"/>
      <c r="S459" s="172"/>
      <c r="T459" s="172"/>
      <c r="U459" s="172"/>
      <c r="V459" s="172"/>
      <c r="W459" s="172"/>
      <c r="X459" s="172"/>
      <c r="Y459" s="172"/>
      <c r="Z459" s="172"/>
      <c r="AA459" s="172"/>
      <c r="AB459" s="172"/>
      <c r="AC459" s="172"/>
      <c r="AD459" s="172"/>
      <c r="AE459" s="172"/>
      <c r="AF459" s="172"/>
      <c r="AG459" s="172"/>
      <c r="AH459" s="172"/>
      <c r="AI459" s="172"/>
      <c r="AJ459" s="172"/>
    </row>
    <row r="460" spans="1:36" s="31" customFormat="1">
      <c r="A460" s="114"/>
      <c r="B460" s="115"/>
      <c r="C460" s="116"/>
      <c r="D460" s="117" t="s">
        <v>12</v>
      </c>
      <c r="E460" s="118"/>
      <c r="F460" s="119"/>
      <c r="G460" s="118"/>
      <c r="H460" s="119"/>
      <c r="I460" s="119"/>
      <c r="J460" s="119"/>
      <c r="K460" s="119"/>
      <c r="L460" s="150">
        <v>0.1</v>
      </c>
      <c r="M460" s="151"/>
      <c r="N460" s="151"/>
      <c r="O460" s="151"/>
      <c r="P460" s="151"/>
      <c r="Q460" s="174">
        <f>Q456*L460</f>
        <v>282132.57489099499</v>
      </c>
      <c r="R460" s="172"/>
      <c r="S460" s="172"/>
      <c r="T460" s="172"/>
      <c r="U460" s="172"/>
      <c r="V460" s="172"/>
      <c r="W460" s="172"/>
      <c r="X460" s="172"/>
      <c r="Y460" s="172"/>
      <c r="Z460" s="172"/>
      <c r="AA460" s="172"/>
      <c r="AB460" s="172"/>
      <c r="AC460" s="172"/>
      <c r="AD460" s="172"/>
      <c r="AE460" s="172"/>
      <c r="AF460" s="172"/>
      <c r="AG460" s="172"/>
      <c r="AH460" s="172"/>
      <c r="AI460" s="172"/>
      <c r="AJ460" s="172"/>
    </row>
    <row r="461" spans="1:36" s="31" customFormat="1">
      <c r="A461" s="114"/>
      <c r="B461" s="115"/>
      <c r="C461" s="116"/>
      <c r="D461" s="117" t="s">
        <v>13</v>
      </c>
      <c r="E461" s="118"/>
      <c r="F461" s="119"/>
      <c r="G461" s="118"/>
      <c r="H461" s="119"/>
      <c r="I461" s="119"/>
      <c r="J461" s="119"/>
      <c r="K461" s="119"/>
      <c r="L461" s="150">
        <v>0.1</v>
      </c>
      <c r="M461" s="151"/>
      <c r="N461" s="151"/>
      <c r="O461" s="151"/>
      <c r="P461" s="151"/>
      <c r="Q461" s="174">
        <f>Q456*L461</f>
        <v>282132.57489099499</v>
      </c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2"/>
      <c r="AG461" s="172"/>
      <c r="AH461" s="172"/>
      <c r="AI461" s="172"/>
      <c r="AJ461" s="172"/>
    </row>
    <row r="462" spans="1:36" s="31" customFormat="1">
      <c r="A462" s="114"/>
      <c r="B462" s="115"/>
      <c r="C462" s="116"/>
      <c r="D462" s="117" t="s">
        <v>14</v>
      </c>
      <c r="E462" s="118"/>
      <c r="F462" s="119"/>
      <c r="G462" s="118"/>
      <c r="H462" s="119"/>
      <c r="I462" s="119"/>
      <c r="J462" s="119"/>
      <c r="K462" s="119"/>
      <c r="L462" s="152">
        <v>9.1999999999999998E-2</v>
      </c>
      <c r="M462" s="151"/>
      <c r="N462" s="151"/>
      <c r="O462" s="151"/>
      <c r="P462" s="151"/>
      <c r="Q462" s="174">
        <f>Q456*L462</f>
        <v>259561.96889971499</v>
      </c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2"/>
      <c r="AG462" s="172"/>
      <c r="AH462" s="172"/>
      <c r="AI462" s="172"/>
      <c r="AJ462" s="172"/>
    </row>
    <row r="463" spans="1:36" s="31" customFormat="1">
      <c r="A463" s="114"/>
      <c r="B463" s="115"/>
      <c r="C463" s="116"/>
      <c r="D463" s="117" t="s">
        <v>15</v>
      </c>
      <c r="E463" s="118"/>
      <c r="F463" s="119"/>
      <c r="G463" s="118"/>
      <c r="H463" s="119"/>
      <c r="I463" s="119"/>
      <c r="J463" s="119"/>
      <c r="K463" s="119"/>
      <c r="L463" s="152">
        <v>1.4999999999999999E-2</v>
      </c>
      <c r="M463" s="152"/>
      <c r="N463" s="152"/>
      <c r="O463" s="152"/>
      <c r="P463" s="152"/>
      <c r="Q463" s="174">
        <f>Q456*L463</f>
        <v>42319.886233649202</v>
      </c>
      <c r="R463" s="172"/>
      <c r="S463" s="172"/>
      <c r="T463" s="172"/>
      <c r="U463" s="172"/>
      <c r="V463" s="172"/>
      <c r="W463" s="172"/>
      <c r="X463" s="172"/>
      <c r="Y463" s="172"/>
      <c r="Z463" s="172"/>
      <c r="AA463" s="172"/>
      <c r="AB463" s="172"/>
      <c r="AC463" s="172"/>
      <c r="AD463" s="172"/>
      <c r="AE463" s="172"/>
      <c r="AF463" s="172"/>
      <c r="AG463" s="172"/>
      <c r="AH463" s="172"/>
      <c r="AI463" s="172"/>
      <c r="AJ463" s="172"/>
    </row>
    <row r="464" spans="1:36" s="31" customFormat="1">
      <c r="A464" s="120"/>
      <c r="B464" s="121"/>
      <c r="C464" s="122"/>
      <c r="D464" s="123" t="s">
        <v>16</v>
      </c>
      <c r="E464" s="124"/>
      <c r="F464" s="124"/>
      <c r="G464" s="125"/>
      <c r="H464" s="124"/>
      <c r="I464" s="124"/>
      <c r="J464" s="124"/>
      <c r="K464" s="124"/>
      <c r="L464" s="153"/>
      <c r="M464" s="153"/>
      <c r="N464" s="153"/>
      <c r="O464" s="153"/>
      <c r="P464" s="153"/>
      <c r="Q464" s="175">
        <f>SUM(Q456:Q463)</f>
        <v>4474403.6193683101</v>
      </c>
    </row>
    <row r="467" spans="13:13">
      <c r="M467" s="154"/>
    </row>
  </sheetData>
  <mergeCells count="7">
    <mergeCell ref="A2:Q2"/>
    <mergeCell ref="B3:C3"/>
    <mergeCell ref="B4:C4"/>
    <mergeCell ref="B5:C5"/>
    <mergeCell ref="H455:I455"/>
    <mergeCell ref="K455:L455"/>
    <mergeCell ref="Q8:Q14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AJ60"/>
  <sheetViews>
    <sheetView showGridLines="0" tabSelected="1" zoomScale="70" zoomScaleNormal="70" zoomScaleSheetLayoutView="85" workbookViewId="0">
      <pane ySplit="6" topLeftCell="A7" activePane="bottomLeft" state="frozen"/>
      <selection pane="bottomLeft" activeCell="D3" sqref="D3"/>
    </sheetView>
  </sheetViews>
  <sheetFormatPr defaultColWidth="9" defaultRowHeight="15.6"/>
  <cols>
    <col min="1" max="1" width="4.09765625" style="32" customWidth="1"/>
    <col min="2" max="2" width="9.19921875" style="32" customWidth="1"/>
    <col min="3" max="3" width="9.5" style="32" customWidth="1"/>
    <col min="4" max="4" width="75.09765625" style="33" customWidth="1"/>
    <col min="5" max="6" width="11.5" style="34" customWidth="1"/>
    <col min="7" max="7" width="14" style="34" customWidth="1"/>
    <col min="8" max="8" width="10.5" style="32" customWidth="1"/>
    <col min="9" max="10" width="14" style="34" customWidth="1"/>
    <col min="11" max="12" width="12.5" style="32" customWidth="1"/>
    <col min="13" max="13" width="14.5" style="32" customWidth="1"/>
    <col min="14" max="14" width="19.09765625" style="32" customWidth="1"/>
    <col min="15" max="15" width="14.59765625" style="32" customWidth="1"/>
    <col min="16" max="16" width="12.5" style="32" customWidth="1"/>
    <col min="17" max="17" width="15.19921875" style="33" customWidth="1"/>
    <col min="18" max="16384" width="9" style="32"/>
  </cols>
  <sheetData>
    <row r="1" spans="1:18" s="26" customFormat="1" ht="15" hidden="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18">
      <c r="A2" s="237" t="s">
        <v>19</v>
      </c>
      <c r="B2" s="238"/>
      <c r="C2" s="238"/>
      <c r="D2" s="239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40"/>
    </row>
    <row r="3" spans="1:18" ht="17.399999999999999" customHeight="1">
      <c r="A3" s="37"/>
      <c r="B3" s="241" t="s">
        <v>20</v>
      </c>
      <c r="C3" s="241"/>
      <c r="E3" s="38"/>
      <c r="F3" s="38"/>
      <c r="G3" s="39"/>
      <c r="H3" s="39"/>
      <c r="I3" s="39"/>
      <c r="J3" s="39"/>
      <c r="K3" s="39"/>
      <c r="L3" s="39"/>
      <c r="M3" s="39"/>
      <c r="N3" s="39"/>
      <c r="O3" s="126"/>
      <c r="P3" s="127"/>
      <c r="Q3" s="155"/>
    </row>
    <row r="4" spans="1:18" ht="18" customHeight="1">
      <c r="A4" s="37"/>
      <c r="B4" s="242" t="s">
        <v>21</v>
      </c>
      <c r="C4" s="242"/>
      <c r="E4" s="40"/>
      <c r="F4" s="40"/>
      <c r="G4" s="40"/>
      <c r="H4" s="41"/>
      <c r="I4" s="40"/>
      <c r="J4" s="40"/>
      <c r="K4" s="39"/>
      <c r="L4" s="39"/>
      <c r="M4" s="39"/>
      <c r="N4" s="39"/>
      <c r="O4" s="126"/>
      <c r="P4" s="127"/>
      <c r="Q4" s="155"/>
    </row>
    <row r="5" spans="1:18" ht="24" customHeight="1">
      <c r="A5" s="37"/>
      <c r="B5" s="243" t="s">
        <v>22</v>
      </c>
      <c r="C5" s="243"/>
      <c r="D5" s="33" t="s">
        <v>5</v>
      </c>
      <c r="E5" s="42"/>
      <c r="F5" s="40"/>
      <c r="G5" s="40"/>
      <c r="H5" s="42"/>
      <c r="I5" s="40"/>
      <c r="J5" s="40"/>
      <c r="K5" s="128"/>
      <c r="L5" s="128"/>
      <c r="M5" s="128"/>
      <c r="N5" s="128"/>
      <c r="O5" s="129"/>
      <c r="P5" s="130"/>
      <c r="Q5" s="155"/>
    </row>
    <row r="6" spans="1:18" s="27" customFormat="1" ht="46.8">
      <c r="A6" s="43" t="s">
        <v>23</v>
      </c>
      <c r="B6" s="44" t="s">
        <v>24</v>
      </c>
      <c r="C6" s="44" t="s">
        <v>25</v>
      </c>
      <c r="D6" s="45" t="s">
        <v>2</v>
      </c>
      <c r="E6" s="44" t="s">
        <v>26</v>
      </c>
      <c r="F6" s="44" t="s">
        <v>27</v>
      </c>
      <c r="G6" s="44" t="s">
        <v>28</v>
      </c>
      <c r="H6" s="44" t="s">
        <v>29</v>
      </c>
      <c r="I6" s="44" t="s">
        <v>30</v>
      </c>
      <c r="J6" s="44" t="s">
        <v>31</v>
      </c>
      <c r="K6" s="44" t="s">
        <v>32</v>
      </c>
      <c r="L6" s="44" t="s">
        <v>33</v>
      </c>
      <c r="M6" s="44" t="s">
        <v>34</v>
      </c>
      <c r="N6" s="44" t="s">
        <v>35</v>
      </c>
      <c r="O6" s="44" t="s">
        <v>36</v>
      </c>
      <c r="P6" s="44" t="s">
        <v>37</v>
      </c>
      <c r="Q6" s="156" t="s">
        <v>38</v>
      </c>
    </row>
    <row r="7" spans="1:18" s="28" customFormat="1">
      <c r="A7" s="46"/>
      <c r="B7" s="47"/>
      <c r="C7" s="48">
        <v>1</v>
      </c>
      <c r="D7" s="49" t="s">
        <v>39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157"/>
    </row>
    <row r="8" spans="1:18" s="29" customFormat="1">
      <c r="A8" s="50">
        <f>IF(F8&lt;&gt;"",1+MAX($A$2:A7),"")</f>
        <v>1</v>
      </c>
      <c r="B8" s="51"/>
      <c r="C8" s="51"/>
      <c r="D8" s="52" t="s">
        <v>40</v>
      </c>
      <c r="E8" s="53">
        <v>1</v>
      </c>
      <c r="F8" s="54">
        <v>0</v>
      </c>
      <c r="G8" s="55">
        <f t="shared" ref="G8:G14" si="0">(F8*E8)+E8</f>
        <v>1</v>
      </c>
      <c r="H8" s="53" t="s">
        <v>41</v>
      </c>
      <c r="I8" s="131">
        <v>0</v>
      </c>
      <c r="J8" s="132">
        <f t="shared" ref="J8:J14" si="1">+I8*G8</f>
        <v>0</v>
      </c>
      <c r="K8" s="133">
        <v>0</v>
      </c>
      <c r="L8" s="134">
        <f t="shared" ref="L8:L14" si="2">I8*K8</f>
        <v>0</v>
      </c>
      <c r="M8" s="134">
        <f t="shared" ref="M8:M14" si="3">K8*J8</f>
        <v>0</v>
      </c>
      <c r="N8" s="134">
        <v>0</v>
      </c>
      <c r="O8" s="134">
        <f t="shared" ref="O8:O14" si="4">N8*G8</f>
        <v>0</v>
      </c>
      <c r="P8" s="134">
        <f>(I8*K8)+N8</f>
        <v>0</v>
      </c>
      <c r="Q8" s="246">
        <v>1500</v>
      </c>
      <c r="R8" s="158"/>
    </row>
    <row r="9" spans="1:18" s="29" customFormat="1">
      <c r="A9" s="56">
        <f>IF(F9&lt;&gt;"",1+MAX($A$2:A8),"")</f>
        <v>2</v>
      </c>
      <c r="B9" s="57"/>
      <c r="C9" s="57"/>
      <c r="D9" s="58" t="s">
        <v>42</v>
      </c>
      <c r="E9" s="59">
        <v>1</v>
      </c>
      <c r="F9" s="60">
        <v>0</v>
      </c>
      <c r="G9" s="61">
        <f t="shared" si="0"/>
        <v>1</v>
      </c>
      <c r="H9" s="59" t="s">
        <v>41</v>
      </c>
      <c r="I9" s="131">
        <v>0</v>
      </c>
      <c r="J9" s="132">
        <f t="shared" si="1"/>
        <v>0</v>
      </c>
      <c r="K9" s="133">
        <v>0</v>
      </c>
      <c r="L9" s="134">
        <f t="shared" si="2"/>
        <v>0</v>
      </c>
      <c r="M9" s="134">
        <f t="shared" si="3"/>
        <v>0</v>
      </c>
      <c r="N9" s="134">
        <v>0</v>
      </c>
      <c r="O9" s="134">
        <f t="shared" si="4"/>
        <v>0</v>
      </c>
      <c r="P9" s="134">
        <f t="shared" ref="P9:P14" si="5">(I9*K9)+N9</f>
        <v>0</v>
      </c>
      <c r="Q9" s="247"/>
      <c r="R9" s="158"/>
    </row>
    <row r="10" spans="1:18" s="29" customFormat="1">
      <c r="A10" s="56">
        <f>IF(F10&lt;&gt;"",1+MAX($A$2:A9),"")</f>
        <v>3</v>
      </c>
      <c r="B10" s="57"/>
      <c r="C10" s="57"/>
      <c r="D10" s="58" t="s">
        <v>43</v>
      </c>
      <c r="E10" s="59">
        <v>1</v>
      </c>
      <c r="F10" s="60">
        <v>0</v>
      </c>
      <c r="G10" s="61">
        <f t="shared" si="0"/>
        <v>1</v>
      </c>
      <c r="H10" s="59" t="s">
        <v>41</v>
      </c>
      <c r="I10" s="131">
        <v>0</v>
      </c>
      <c r="J10" s="132">
        <f t="shared" si="1"/>
        <v>0</v>
      </c>
      <c r="K10" s="133">
        <v>0</v>
      </c>
      <c r="L10" s="134">
        <f t="shared" si="2"/>
        <v>0</v>
      </c>
      <c r="M10" s="134">
        <f t="shared" si="3"/>
        <v>0</v>
      </c>
      <c r="N10" s="134">
        <v>0</v>
      </c>
      <c r="O10" s="134">
        <f t="shared" si="4"/>
        <v>0</v>
      </c>
      <c r="P10" s="134">
        <f t="shared" si="5"/>
        <v>0</v>
      </c>
      <c r="Q10" s="247"/>
      <c r="R10" s="158"/>
    </row>
    <row r="11" spans="1:18" s="29" customFormat="1">
      <c r="A11" s="56">
        <f>IF(F11&lt;&gt;"",1+MAX($A$2:A10),"")</f>
        <v>4</v>
      </c>
      <c r="B11" s="57"/>
      <c r="C11" s="57"/>
      <c r="D11" s="58" t="s">
        <v>44</v>
      </c>
      <c r="E11" s="59">
        <v>1</v>
      </c>
      <c r="F11" s="60">
        <v>0</v>
      </c>
      <c r="G11" s="61">
        <f t="shared" si="0"/>
        <v>1</v>
      </c>
      <c r="H11" s="59" t="s">
        <v>41</v>
      </c>
      <c r="I11" s="131">
        <v>0</v>
      </c>
      <c r="J11" s="132">
        <f t="shared" si="1"/>
        <v>0</v>
      </c>
      <c r="K11" s="133">
        <v>0</v>
      </c>
      <c r="L11" s="134">
        <f t="shared" si="2"/>
        <v>0</v>
      </c>
      <c r="M11" s="134">
        <f t="shared" si="3"/>
        <v>0</v>
      </c>
      <c r="N11" s="134">
        <v>0</v>
      </c>
      <c r="O11" s="134">
        <f t="shared" si="4"/>
        <v>0</v>
      </c>
      <c r="P11" s="134">
        <f t="shared" si="5"/>
        <v>0</v>
      </c>
      <c r="Q11" s="247"/>
      <c r="R11" s="158"/>
    </row>
    <row r="12" spans="1:18" s="29" customFormat="1">
      <c r="A12" s="62">
        <f>IF(F12&lt;&gt;"",1+MAX($A$2:A11),"")</f>
        <v>5</v>
      </c>
      <c r="B12" s="63"/>
      <c r="C12" s="57"/>
      <c r="D12" s="58" t="s">
        <v>45</v>
      </c>
      <c r="E12" s="59">
        <v>1</v>
      </c>
      <c r="F12" s="60">
        <v>0</v>
      </c>
      <c r="G12" s="61">
        <f t="shared" si="0"/>
        <v>1</v>
      </c>
      <c r="H12" s="59" t="s">
        <v>41</v>
      </c>
      <c r="I12" s="131">
        <v>0</v>
      </c>
      <c r="J12" s="132">
        <f t="shared" si="1"/>
        <v>0</v>
      </c>
      <c r="K12" s="133">
        <v>0</v>
      </c>
      <c r="L12" s="134">
        <f t="shared" si="2"/>
        <v>0</v>
      </c>
      <c r="M12" s="134">
        <f t="shared" si="3"/>
        <v>0</v>
      </c>
      <c r="N12" s="134">
        <v>0</v>
      </c>
      <c r="O12" s="134">
        <f t="shared" si="4"/>
        <v>0</v>
      </c>
      <c r="P12" s="134">
        <f t="shared" si="5"/>
        <v>0</v>
      </c>
      <c r="Q12" s="247"/>
      <c r="R12" s="158"/>
    </row>
    <row r="13" spans="1:18" s="29" customFormat="1">
      <c r="A13" s="62">
        <f>IF(F13&lt;&gt;"",1+MAX($A$2:A12),"")</f>
        <v>6</v>
      </c>
      <c r="B13" s="63"/>
      <c r="C13" s="57"/>
      <c r="D13" s="58" t="s">
        <v>46</v>
      </c>
      <c r="E13" s="59">
        <v>1</v>
      </c>
      <c r="F13" s="60">
        <v>0</v>
      </c>
      <c r="G13" s="61">
        <f t="shared" si="0"/>
        <v>1</v>
      </c>
      <c r="H13" s="59" t="s">
        <v>41</v>
      </c>
      <c r="I13" s="131">
        <v>0</v>
      </c>
      <c r="J13" s="132">
        <f t="shared" si="1"/>
        <v>0</v>
      </c>
      <c r="K13" s="133">
        <v>0</v>
      </c>
      <c r="L13" s="134">
        <f t="shared" si="2"/>
        <v>0</v>
      </c>
      <c r="M13" s="134">
        <f t="shared" si="3"/>
        <v>0</v>
      </c>
      <c r="N13" s="134">
        <v>0</v>
      </c>
      <c r="O13" s="134">
        <f t="shared" si="4"/>
        <v>0</v>
      </c>
      <c r="P13" s="134">
        <f t="shared" si="5"/>
        <v>0</v>
      </c>
      <c r="Q13" s="247"/>
      <c r="R13" s="158"/>
    </row>
    <row r="14" spans="1:18" s="29" customFormat="1">
      <c r="A14" s="62">
        <f>IF(F14&lt;&gt;"",1+MAX($A$2:A13),"")</f>
        <v>7</v>
      </c>
      <c r="B14" s="63"/>
      <c r="C14" s="57"/>
      <c r="D14" s="64" t="s">
        <v>47</v>
      </c>
      <c r="E14" s="65">
        <v>1</v>
      </c>
      <c r="F14" s="66">
        <v>0</v>
      </c>
      <c r="G14" s="67">
        <f t="shared" si="0"/>
        <v>1</v>
      </c>
      <c r="H14" s="65" t="s">
        <v>41</v>
      </c>
      <c r="I14" s="135">
        <v>0</v>
      </c>
      <c r="J14" s="136">
        <f t="shared" si="1"/>
        <v>0</v>
      </c>
      <c r="K14" s="137">
        <v>0</v>
      </c>
      <c r="L14" s="138">
        <f t="shared" si="2"/>
        <v>0</v>
      </c>
      <c r="M14" s="138">
        <f t="shared" si="3"/>
        <v>0</v>
      </c>
      <c r="N14" s="138">
        <v>0</v>
      </c>
      <c r="O14" s="138">
        <f t="shared" si="4"/>
        <v>0</v>
      </c>
      <c r="P14" s="134">
        <f t="shared" si="5"/>
        <v>0</v>
      </c>
      <c r="Q14" s="248"/>
      <c r="R14" s="158"/>
    </row>
    <row r="15" spans="1:18" s="27" customFormat="1">
      <c r="A15" s="68" t="str">
        <f>IF(F15&lt;&gt;"",1+MAX($A$2:A14),"")</f>
        <v/>
      </c>
      <c r="B15" s="69"/>
      <c r="C15" s="70"/>
      <c r="D15" s="71" t="s">
        <v>48</v>
      </c>
      <c r="E15" s="72"/>
      <c r="F15" s="72"/>
      <c r="G15" s="72"/>
      <c r="H15" s="72"/>
      <c r="I15" s="72"/>
      <c r="J15" s="72"/>
      <c r="K15" s="139"/>
      <c r="L15" s="139"/>
      <c r="M15" s="139"/>
      <c r="N15" s="139"/>
      <c r="O15" s="139"/>
      <c r="P15" s="139"/>
      <c r="Q15" s="159">
        <f>SUM(Q8:Q14)</f>
        <v>1500</v>
      </c>
      <c r="R15" s="160"/>
    </row>
    <row r="16" spans="1:18" s="27" customFormat="1">
      <c r="A16" s="68" t="str">
        <f>IF(F16&lt;&gt;"",1+MAX($A$2:A15),"")</f>
        <v/>
      </c>
      <c r="B16" s="69"/>
      <c r="C16" s="70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161"/>
      <c r="R16" s="160"/>
    </row>
    <row r="17" spans="1:36" s="30" customFormat="1">
      <c r="A17" s="74" t="str">
        <f>IF(F17&lt;&gt;"",1+MAX($A$2:A16),"")</f>
        <v/>
      </c>
      <c r="B17" s="47"/>
      <c r="C17" s="75"/>
      <c r="D17" s="49" t="s">
        <v>408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157"/>
      <c r="S17" s="162"/>
    </row>
    <row r="18" spans="1:36" s="29" customFormat="1">
      <c r="A18" s="76" t="str">
        <f>IF(F18&lt;&gt;"",1+MAX($A$2:A17),"")</f>
        <v/>
      </c>
      <c r="B18" s="77"/>
      <c r="C18" s="78"/>
      <c r="D18" s="79" t="s">
        <v>409</v>
      </c>
      <c r="E18" s="80"/>
      <c r="F18" s="60"/>
      <c r="G18" s="61"/>
      <c r="H18" s="61"/>
      <c r="I18" s="61"/>
      <c r="J18" s="61"/>
      <c r="K18" s="140"/>
      <c r="L18" s="140"/>
      <c r="M18" s="140"/>
      <c r="N18" s="140"/>
      <c r="O18" s="140"/>
      <c r="P18" s="140"/>
      <c r="Q18" s="163"/>
      <c r="R18" s="158"/>
    </row>
    <row r="19" spans="1:36" s="29" customFormat="1">
      <c r="A19" s="81">
        <f>IF(F19&lt;&gt;"",1+MAX($A$2:A18),"")</f>
        <v>8</v>
      </c>
      <c r="B19" s="77"/>
      <c r="C19" s="51"/>
      <c r="D19" s="52" t="s">
        <v>410</v>
      </c>
      <c r="E19" s="53">
        <v>2</v>
      </c>
      <c r="F19" s="54">
        <v>0</v>
      </c>
      <c r="G19" s="55">
        <f>(F19*E19)+E19</f>
        <v>2</v>
      </c>
      <c r="H19" s="53" t="s">
        <v>71</v>
      </c>
      <c r="I19" s="131">
        <v>0.25</v>
      </c>
      <c r="J19" s="132">
        <f t="shared" ref="J19" si="6">+I19*G19</f>
        <v>0.5</v>
      </c>
      <c r="K19" s="133">
        <f>'LABOR SHEET'!C$3</f>
        <v>128</v>
      </c>
      <c r="L19" s="134">
        <f t="shared" ref="L19" si="7">I19*K19</f>
        <v>32</v>
      </c>
      <c r="M19" s="134">
        <f t="shared" ref="M19" si="8">K19*J19</f>
        <v>64</v>
      </c>
      <c r="N19" s="134">
        <v>18</v>
      </c>
      <c r="O19" s="134">
        <f t="shared" ref="O19" si="9">N19*G19</f>
        <v>36</v>
      </c>
      <c r="P19" s="134">
        <f t="shared" ref="P19" si="10">(I19*K19)+N19</f>
        <v>50</v>
      </c>
      <c r="Q19" s="164">
        <f t="shared" ref="Q19" si="11">P19*G19</f>
        <v>100</v>
      </c>
      <c r="R19" s="158"/>
    </row>
    <row r="20" spans="1:36" s="29" customFormat="1">
      <c r="A20" s="62" t="str">
        <f>IF(F20&lt;&gt;"",1+MAX($A$2:A19),"")</f>
        <v/>
      </c>
      <c r="B20" s="77"/>
      <c r="C20" s="82"/>
      <c r="D20" s="52"/>
      <c r="E20" s="80"/>
      <c r="F20" s="60"/>
      <c r="G20" s="55"/>
      <c r="H20" s="65"/>
      <c r="I20" s="131"/>
      <c r="J20" s="132"/>
      <c r="K20" s="133"/>
      <c r="L20" s="134"/>
      <c r="M20" s="134"/>
      <c r="N20" s="134"/>
      <c r="O20" s="134"/>
      <c r="P20" s="134"/>
      <c r="Q20" s="164"/>
      <c r="R20" s="158"/>
    </row>
    <row r="21" spans="1:36" s="29" customFormat="1">
      <c r="A21" s="76" t="str">
        <f>IF(F21&lt;&gt;"",1+MAX($A$2:A20),"")</f>
        <v/>
      </c>
      <c r="B21" s="77"/>
      <c r="C21" s="78"/>
      <c r="D21" s="79" t="s">
        <v>147</v>
      </c>
      <c r="E21" s="80"/>
      <c r="F21" s="60"/>
      <c r="G21" s="55"/>
      <c r="H21" s="61"/>
      <c r="I21" s="61"/>
      <c r="J21" s="61"/>
      <c r="K21" s="140"/>
      <c r="L21" s="140"/>
      <c r="M21" s="140"/>
      <c r="N21" s="140"/>
      <c r="O21" s="140"/>
      <c r="P21" s="140"/>
      <c r="Q21" s="165"/>
      <c r="R21" s="158"/>
    </row>
    <row r="22" spans="1:36" s="29" customFormat="1">
      <c r="A22" s="81">
        <f>IF(F22&lt;&gt;"",1+MAX($A$2:A21),"")</f>
        <v>9</v>
      </c>
      <c r="B22" s="77"/>
      <c r="C22" s="51"/>
      <c r="D22" s="52" t="s">
        <v>152</v>
      </c>
      <c r="E22" s="53">
        <v>89.02</v>
      </c>
      <c r="F22" s="54">
        <v>0</v>
      </c>
      <c r="G22" s="55">
        <f t="shared" ref="G22:G29" si="12">(F22*E22)+E22</f>
        <v>89.02</v>
      </c>
      <c r="H22" s="53" t="s">
        <v>54</v>
      </c>
      <c r="I22" s="131">
        <v>4.4999999999999998E-2</v>
      </c>
      <c r="J22" s="132">
        <f t="shared" ref="J22" si="13">+I22*G22</f>
        <v>4.0058999999999996</v>
      </c>
      <c r="K22" s="133">
        <f>'LABOR SHEET'!C$3</f>
        <v>128</v>
      </c>
      <c r="L22" s="134">
        <f t="shared" ref="L22" si="14">I22*K22</f>
        <v>5.76</v>
      </c>
      <c r="M22" s="134">
        <f t="shared" ref="M22" si="15">K22*J22</f>
        <v>512.75519999999995</v>
      </c>
      <c r="N22" s="134">
        <v>1.2</v>
      </c>
      <c r="O22" s="134">
        <f t="shared" ref="O22" si="16">N22*G22</f>
        <v>106.824</v>
      </c>
      <c r="P22" s="134">
        <f t="shared" ref="P22" si="17">(I22*K22)+N22</f>
        <v>6.96</v>
      </c>
      <c r="Q22" s="164">
        <f t="shared" ref="Q22" si="18">P22*G22</f>
        <v>619.57920000000001</v>
      </c>
      <c r="R22" s="158"/>
    </row>
    <row r="23" spans="1:36" s="29" customFormat="1">
      <c r="A23" s="62" t="str">
        <f>IF(F23&lt;&gt;"",1+MAX($A$2:A22),"")</f>
        <v/>
      </c>
      <c r="B23" s="77"/>
      <c r="C23" s="57"/>
      <c r="D23" s="58"/>
      <c r="E23" s="59"/>
      <c r="F23" s="60"/>
      <c r="G23" s="61"/>
      <c r="H23" s="65"/>
      <c r="I23" s="135"/>
      <c r="J23" s="132"/>
      <c r="K23" s="133"/>
      <c r="L23" s="134"/>
      <c r="M23" s="134"/>
      <c r="N23" s="134"/>
      <c r="O23" s="134"/>
      <c r="P23" s="138"/>
      <c r="Q23" s="166"/>
      <c r="R23" s="158"/>
    </row>
    <row r="24" spans="1:36" s="30" customFormat="1">
      <c r="A24" s="83" t="str">
        <f>IF(F24&lt;&gt;"",1+MAX($A$2:A23),"")</f>
        <v/>
      </c>
      <c r="B24" s="84"/>
      <c r="C24" s="85"/>
      <c r="D24" s="79" t="s">
        <v>161</v>
      </c>
      <c r="E24" s="61"/>
      <c r="F24" s="86"/>
      <c r="G24" s="87"/>
      <c r="H24" s="59"/>
      <c r="I24" s="131"/>
      <c r="J24" s="132"/>
      <c r="K24" s="133"/>
      <c r="L24" s="134"/>
      <c r="M24" s="134"/>
      <c r="N24" s="134"/>
      <c r="O24" s="134"/>
      <c r="P24" s="134"/>
      <c r="Q24" s="165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</row>
    <row r="25" spans="1:36" s="30" customFormat="1">
      <c r="A25" s="83" t="str">
        <f>IF(F25&lt;&gt;"",1+MAX($A$2:A24),"")</f>
        <v/>
      </c>
      <c r="B25" s="84"/>
      <c r="C25" s="85"/>
      <c r="D25" s="88" t="s">
        <v>52</v>
      </c>
      <c r="E25" s="61"/>
      <c r="F25" s="86"/>
      <c r="G25" s="87"/>
      <c r="H25" s="59"/>
      <c r="I25" s="131"/>
      <c r="J25" s="132"/>
      <c r="K25" s="133"/>
      <c r="L25" s="134"/>
      <c r="M25" s="134"/>
      <c r="N25" s="134"/>
      <c r="O25" s="134"/>
      <c r="P25" s="134"/>
      <c r="Q25" s="165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</row>
    <row r="26" spans="1:36" s="30" customFormat="1">
      <c r="A26" s="83">
        <f>IF(F26&lt;&gt;"",1+MAX($A$2:A25),"")</f>
        <v>10</v>
      </c>
      <c r="B26" s="84"/>
      <c r="C26" s="85"/>
      <c r="D26" s="58" t="s">
        <v>156</v>
      </c>
      <c r="E26" s="61">
        <v>390.21</v>
      </c>
      <c r="F26" s="60">
        <v>0.05</v>
      </c>
      <c r="G26" s="55">
        <f t="shared" si="12"/>
        <v>409.72050000000002</v>
      </c>
      <c r="H26" s="59" t="s">
        <v>54</v>
      </c>
      <c r="I26" s="131">
        <v>0.05</v>
      </c>
      <c r="J26" s="132">
        <f t="shared" ref="J26:J29" si="19">+I26*G26</f>
        <v>20.486025000000001</v>
      </c>
      <c r="K26" s="133">
        <f>'LABOR SHEET'!C$3</f>
        <v>128</v>
      </c>
      <c r="L26" s="134">
        <f t="shared" ref="L26:L29" si="20">I26*K26</f>
        <v>6.4</v>
      </c>
      <c r="M26" s="134">
        <f t="shared" ref="M26:M29" si="21">K26*J26</f>
        <v>2622.2112000000002</v>
      </c>
      <c r="N26" s="134">
        <f>11.46/10+0.25</f>
        <v>1.3959999999999999</v>
      </c>
      <c r="O26" s="134">
        <f t="shared" ref="O26:O29" si="22">N26*G26</f>
        <v>571.96981800000003</v>
      </c>
      <c r="P26" s="134">
        <f t="shared" ref="P26:P29" si="23">(I26*K26)+N26</f>
        <v>7.7960000000000003</v>
      </c>
      <c r="Q26" s="164">
        <f t="shared" ref="Q26:Q29" si="24">P26*G26</f>
        <v>3194.1810180000002</v>
      </c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</row>
    <row r="27" spans="1:36" s="30" customFormat="1">
      <c r="A27" s="83">
        <f>IF(F27&lt;&gt;"",1+MAX($A$2:A26),"")</f>
        <v>11</v>
      </c>
      <c r="B27" s="84"/>
      <c r="C27" s="85"/>
      <c r="D27" s="58" t="s">
        <v>157</v>
      </c>
      <c r="E27" s="61">
        <v>5</v>
      </c>
      <c r="F27" s="60">
        <v>0.05</v>
      </c>
      <c r="G27" s="55">
        <f t="shared" si="12"/>
        <v>5.25</v>
      </c>
      <c r="H27" s="59" t="s">
        <v>54</v>
      </c>
      <c r="I27" s="131">
        <v>3.5000000000000003E-2</v>
      </c>
      <c r="J27" s="132">
        <f t="shared" si="19"/>
        <v>0.18375</v>
      </c>
      <c r="K27" s="133">
        <f>'LABOR SHEET'!C$3</f>
        <v>128</v>
      </c>
      <c r="L27" s="134">
        <f t="shared" si="20"/>
        <v>4.4800000000000004</v>
      </c>
      <c r="M27" s="134">
        <f t="shared" si="21"/>
        <v>23.52</v>
      </c>
      <c r="N27" s="134">
        <f>9.68/10+0.35</f>
        <v>1.3180000000000001</v>
      </c>
      <c r="O27" s="134">
        <f t="shared" si="22"/>
        <v>6.9195000000000002</v>
      </c>
      <c r="P27" s="134">
        <f t="shared" si="23"/>
        <v>5.798</v>
      </c>
      <c r="Q27" s="164">
        <f t="shared" si="24"/>
        <v>30.439499999999999</v>
      </c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</row>
    <row r="28" spans="1:36" s="30" customFormat="1">
      <c r="A28" s="83">
        <f>IF(F28&lt;&gt;"",1+MAX($A$2:A27),"")</f>
        <v>12</v>
      </c>
      <c r="B28" s="84"/>
      <c r="C28" s="85"/>
      <c r="D28" s="58" t="s">
        <v>170</v>
      </c>
      <c r="E28" s="61">
        <v>12.85</v>
      </c>
      <c r="F28" s="60">
        <v>0.05</v>
      </c>
      <c r="G28" s="55">
        <f t="shared" si="12"/>
        <v>13.4925</v>
      </c>
      <c r="H28" s="59" t="s">
        <v>54</v>
      </c>
      <c r="I28" s="131">
        <v>0.1</v>
      </c>
      <c r="J28" s="132">
        <f t="shared" si="19"/>
        <v>1.3492500000000001</v>
      </c>
      <c r="K28" s="133">
        <f>'LABOR SHEET'!C$3</f>
        <v>128</v>
      </c>
      <c r="L28" s="134">
        <f t="shared" si="20"/>
        <v>12.8</v>
      </c>
      <c r="M28" s="134">
        <f t="shared" si="21"/>
        <v>172.70400000000001</v>
      </c>
      <c r="N28" s="134">
        <f>244.56/100+0.3</f>
        <v>2.7456</v>
      </c>
      <c r="O28" s="134">
        <f t="shared" si="22"/>
        <v>37.045008000000003</v>
      </c>
      <c r="P28" s="134">
        <f t="shared" si="23"/>
        <v>15.5456</v>
      </c>
      <c r="Q28" s="164">
        <f t="shared" si="24"/>
        <v>209.749008</v>
      </c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</row>
    <row r="29" spans="1:36" s="30" customFormat="1">
      <c r="A29" s="83">
        <f>IF(F29&lt;&gt;"",1+MAX($A$2:A28),"")</f>
        <v>13</v>
      </c>
      <c r="B29" s="84"/>
      <c r="C29" s="85"/>
      <c r="D29" s="58" t="s">
        <v>169</v>
      </c>
      <c r="E29" s="61">
        <v>10.27</v>
      </c>
      <c r="F29" s="60">
        <v>0.05</v>
      </c>
      <c r="G29" s="55">
        <f t="shared" si="12"/>
        <v>10.7835</v>
      </c>
      <c r="H29" s="59" t="s">
        <v>54</v>
      </c>
      <c r="I29" s="131">
        <v>6.7000000000000004E-2</v>
      </c>
      <c r="J29" s="132">
        <f t="shared" si="19"/>
        <v>0.72249450000000004</v>
      </c>
      <c r="K29" s="133">
        <f>'LABOR SHEET'!C$3</f>
        <v>128</v>
      </c>
      <c r="L29" s="134">
        <f t="shared" si="20"/>
        <v>8.5760000000000005</v>
      </c>
      <c r="M29" s="134">
        <f t="shared" si="21"/>
        <v>92.479296000000005</v>
      </c>
      <c r="N29" s="134">
        <f>29.67/10+0.35</f>
        <v>3.3170000000000002</v>
      </c>
      <c r="O29" s="134">
        <f t="shared" si="22"/>
        <v>35.768869500000001</v>
      </c>
      <c r="P29" s="134">
        <f t="shared" si="23"/>
        <v>11.893000000000001</v>
      </c>
      <c r="Q29" s="164">
        <f t="shared" si="24"/>
        <v>128.2481655</v>
      </c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</row>
    <row r="30" spans="1:36" s="30" customFormat="1">
      <c r="A30" s="83" t="str">
        <f>IF(F30&lt;&gt;"",1+MAX($A$2:A29),"")</f>
        <v/>
      </c>
      <c r="B30" s="84"/>
      <c r="C30" s="85"/>
      <c r="D30" s="58"/>
      <c r="E30" s="61"/>
      <c r="F30" s="86"/>
      <c r="G30" s="87"/>
      <c r="H30" s="59"/>
      <c r="I30" s="131"/>
      <c r="J30" s="132"/>
      <c r="K30" s="133"/>
      <c r="L30" s="134"/>
      <c r="M30" s="134"/>
      <c r="N30" s="134"/>
      <c r="O30" s="134"/>
      <c r="P30" s="134"/>
      <c r="Q30" s="165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</row>
    <row r="31" spans="1:36" s="30" customFormat="1">
      <c r="A31" s="83" t="str">
        <f>IF(F31&lt;&gt;"",1+MAX($A$2:A30),"")</f>
        <v/>
      </c>
      <c r="B31" s="84"/>
      <c r="C31" s="85"/>
      <c r="D31" s="88" t="s">
        <v>60</v>
      </c>
      <c r="E31" s="61"/>
      <c r="F31" s="86"/>
      <c r="G31" s="87"/>
      <c r="H31" s="59"/>
      <c r="I31" s="131"/>
      <c r="J31" s="132"/>
      <c r="K31" s="133"/>
      <c r="L31" s="134"/>
      <c r="M31" s="134"/>
      <c r="N31" s="134"/>
      <c r="O31" s="134"/>
      <c r="P31" s="134"/>
      <c r="Q31" s="165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</row>
    <row r="32" spans="1:36" s="30" customFormat="1">
      <c r="A32" s="83">
        <f>IF(F32&lt;&gt;"",1+MAX($A$2:A31),"")</f>
        <v>14</v>
      </c>
      <c r="B32" s="84"/>
      <c r="C32" s="85"/>
      <c r="D32" s="58" t="s">
        <v>158</v>
      </c>
      <c r="E32" s="61">
        <v>1254.99</v>
      </c>
      <c r="F32" s="60">
        <v>0.05</v>
      </c>
      <c r="G32" s="55">
        <f t="shared" ref="G32:G37" si="25">(F32*E32)+E32</f>
        <v>1317.7394999999999</v>
      </c>
      <c r="H32" s="59" t="s">
        <v>54</v>
      </c>
      <c r="I32" s="131">
        <v>0.01</v>
      </c>
      <c r="J32" s="132">
        <f t="shared" ref="J32" si="26">+I32*G32</f>
        <v>13.177395000000001</v>
      </c>
      <c r="K32" s="133">
        <f>'LABOR SHEET'!C$3</f>
        <v>128</v>
      </c>
      <c r="L32" s="134">
        <f t="shared" ref="L32" si="27">I32*K32</f>
        <v>1.28</v>
      </c>
      <c r="M32" s="134">
        <f t="shared" ref="M32" si="28">K32*J32</f>
        <v>1686.7065600000001</v>
      </c>
      <c r="N32" s="134">
        <v>0.38</v>
      </c>
      <c r="O32" s="134">
        <f t="shared" ref="O32" si="29">N32*G32</f>
        <v>500.74101000000002</v>
      </c>
      <c r="P32" s="134">
        <f t="shared" ref="P32" si="30">(I32*K32)+N32</f>
        <v>1.66</v>
      </c>
      <c r="Q32" s="164">
        <f t="shared" ref="Q32" si="31">P32*G32</f>
        <v>2187.4475699999998</v>
      </c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</row>
    <row r="33" spans="1:36" s="30" customFormat="1">
      <c r="A33" s="83" t="str">
        <f>IF(F33&lt;&gt;"",1+MAX($A$2:A32),"")</f>
        <v/>
      </c>
      <c r="B33" s="84"/>
      <c r="C33" s="85"/>
      <c r="D33" s="58"/>
      <c r="E33" s="61"/>
      <c r="F33" s="86"/>
      <c r="G33" s="87"/>
      <c r="H33" s="59"/>
      <c r="I33" s="131"/>
      <c r="J33" s="132"/>
      <c r="K33" s="133"/>
      <c r="L33" s="134"/>
      <c r="M33" s="134"/>
      <c r="N33" s="134"/>
      <c r="O33" s="134"/>
      <c r="P33" s="134"/>
      <c r="Q33" s="165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</row>
    <row r="34" spans="1:36" s="30" customFormat="1">
      <c r="A34" s="83" t="str">
        <f>IF(F34&lt;&gt;"",1+MAX($A$2:A33),"")</f>
        <v/>
      </c>
      <c r="B34" s="84"/>
      <c r="C34" s="85"/>
      <c r="D34" s="49" t="s">
        <v>361</v>
      </c>
      <c r="E34" s="61"/>
      <c r="F34" s="86"/>
      <c r="G34" s="87"/>
      <c r="H34" s="59"/>
      <c r="I34" s="131"/>
      <c r="J34" s="132"/>
      <c r="K34" s="133"/>
      <c r="L34" s="134"/>
      <c r="M34" s="134"/>
      <c r="N34" s="134"/>
      <c r="O34" s="134"/>
      <c r="P34" s="134"/>
      <c r="Q34" s="165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</row>
    <row r="35" spans="1:36" s="30" customFormat="1">
      <c r="A35" s="83" t="str">
        <f>IF(F35&lt;&gt;"",1+MAX($A$2:A34),"")</f>
        <v/>
      </c>
      <c r="B35" s="84"/>
      <c r="C35" s="85"/>
      <c r="D35" s="79" t="s">
        <v>283</v>
      </c>
      <c r="E35" s="61"/>
      <c r="F35" s="86"/>
      <c r="G35" s="87"/>
      <c r="H35" s="59"/>
      <c r="I35" s="131"/>
      <c r="J35" s="132"/>
      <c r="K35" s="133"/>
      <c r="L35" s="134"/>
      <c r="M35" s="134"/>
      <c r="N35" s="134"/>
      <c r="O35" s="134"/>
      <c r="P35" s="134"/>
      <c r="Q35" s="165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</row>
    <row r="36" spans="1:36" s="30" customFormat="1">
      <c r="A36" s="83">
        <f>IF(F36&lt;&gt;"",1+MAX($A$2:A35),"")</f>
        <v>15</v>
      </c>
      <c r="B36" s="84"/>
      <c r="C36" s="85"/>
      <c r="D36" s="58" t="s">
        <v>156</v>
      </c>
      <c r="E36" s="61">
        <v>110.05</v>
      </c>
      <c r="F36" s="60">
        <v>0.05</v>
      </c>
      <c r="G36" s="55">
        <f t="shared" si="25"/>
        <v>115.55249999999999</v>
      </c>
      <c r="H36" s="59" t="s">
        <v>54</v>
      </c>
      <c r="I36" s="131">
        <v>0.05</v>
      </c>
      <c r="J36" s="132">
        <f t="shared" ref="J36:J37" si="32">+I36*G36</f>
        <v>5.7776249999999996</v>
      </c>
      <c r="K36" s="133">
        <f>'LABOR SHEET'!C$3</f>
        <v>128</v>
      </c>
      <c r="L36" s="134">
        <f t="shared" ref="L36:L37" si="33">I36*K36</f>
        <v>6.4</v>
      </c>
      <c r="M36" s="134">
        <f t="shared" ref="M36:M37" si="34">K36*J36</f>
        <v>739.53599999999994</v>
      </c>
      <c r="N36" s="134">
        <f>11.46/10+0.25</f>
        <v>1.3959999999999999</v>
      </c>
      <c r="O36" s="134">
        <f t="shared" ref="O36:O37" si="35">N36*G36</f>
        <v>161.31129000000001</v>
      </c>
      <c r="P36" s="134">
        <f t="shared" ref="P36:P37" si="36">(I36*K36)+N36</f>
        <v>7.7960000000000003</v>
      </c>
      <c r="Q36" s="164">
        <f t="shared" ref="Q36:Q37" si="37">P36*G36</f>
        <v>900.84729000000004</v>
      </c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</row>
    <row r="37" spans="1:36" s="30" customFormat="1">
      <c r="A37" s="83">
        <f>IF(F37&lt;&gt;"",1+MAX($A$2:A36),"")</f>
        <v>16</v>
      </c>
      <c r="B37" s="84"/>
      <c r="C37" s="85"/>
      <c r="D37" s="58" t="s">
        <v>169</v>
      </c>
      <c r="E37" s="61">
        <v>14.52</v>
      </c>
      <c r="F37" s="60">
        <v>0.05</v>
      </c>
      <c r="G37" s="55">
        <f t="shared" si="25"/>
        <v>15.246</v>
      </c>
      <c r="H37" s="59" t="s">
        <v>54</v>
      </c>
      <c r="I37" s="131">
        <v>6.7000000000000004E-2</v>
      </c>
      <c r="J37" s="132">
        <f t="shared" si="32"/>
        <v>1.021482</v>
      </c>
      <c r="K37" s="133">
        <f>'LABOR SHEET'!C$3</f>
        <v>128</v>
      </c>
      <c r="L37" s="134">
        <f t="shared" si="33"/>
        <v>8.5760000000000005</v>
      </c>
      <c r="M37" s="134">
        <f t="shared" si="34"/>
        <v>130.749696</v>
      </c>
      <c r="N37" s="134">
        <f>29.67/10+0.35</f>
        <v>3.3170000000000002</v>
      </c>
      <c r="O37" s="134">
        <f t="shared" si="35"/>
        <v>50.570982000000001</v>
      </c>
      <c r="P37" s="134">
        <f t="shared" si="36"/>
        <v>11.893000000000001</v>
      </c>
      <c r="Q37" s="164">
        <f t="shared" si="37"/>
        <v>181.32067799999999</v>
      </c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</row>
    <row r="38" spans="1:36" s="30" customFormat="1">
      <c r="A38" s="83" t="str">
        <f>IF(F38&lt;&gt;"",1+MAX($A$2:A37),"")</f>
        <v/>
      </c>
      <c r="B38" s="84"/>
      <c r="C38" s="85"/>
      <c r="D38" s="58"/>
      <c r="E38" s="61"/>
      <c r="F38" s="86"/>
      <c r="G38" s="87"/>
      <c r="H38" s="59"/>
      <c r="I38" s="131"/>
      <c r="J38" s="132"/>
      <c r="K38" s="133"/>
      <c r="L38" s="134"/>
      <c r="M38" s="134"/>
      <c r="N38" s="134"/>
      <c r="O38" s="134"/>
      <c r="P38" s="134"/>
      <c r="Q38" s="165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</row>
    <row r="39" spans="1:36" s="30" customFormat="1">
      <c r="A39" s="83" t="str">
        <f>IF(F39&lt;&gt;"",1+MAX($A$2:A38),"")</f>
        <v/>
      </c>
      <c r="B39" s="84"/>
      <c r="C39" s="85"/>
      <c r="D39" s="79" t="s">
        <v>284</v>
      </c>
      <c r="E39" s="61"/>
      <c r="F39" s="86"/>
      <c r="G39" s="87"/>
      <c r="H39" s="59"/>
      <c r="I39" s="131"/>
      <c r="J39" s="132"/>
      <c r="K39" s="133"/>
      <c r="L39" s="134"/>
      <c r="M39" s="134"/>
      <c r="N39" s="134"/>
      <c r="O39" s="134"/>
      <c r="P39" s="134"/>
      <c r="Q39" s="165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</row>
    <row r="40" spans="1:36" s="30" customFormat="1">
      <c r="A40" s="83">
        <f>IF(F40&lt;&gt;"",1+MAX($A$2:A39),"")</f>
        <v>17</v>
      </c>
      <c r="B40" s="84"/>
      <c r="C40" s="85"/>
      <c r="D40" s="58" t="s">
        <v>288</v>
      </c>
      <c r="E40" s="61">
        <v>124.57</v>
      </c>
      <c r="F40" s="60">
        <v>0.05</v>
      </c>
      <c r="G40" s="55">
        <f t="shared" ref="G40:G44" si="38">(F40*E40)+E40</f>
        <v>130.79849999999999</v>
      </c>
      <c r="H40" s="59" t="s">
        <v>54</v>
      </c>
      <c r="I40" s="131">
        <v>8.0000000000000002E-3</v>
      </c>
      <c r="J40" s="132">
        <f t="shared" ref="J40" si="39">+I40*G40</f>
        <v>1.0463880000000001</v>
      </c>
      <c r="K40" s="133">
        <f>'LABOR SHEET'!C$3</f>
        <v>128</v>
      </c>
      <c r="L40" s="134">
        <f t="shared" ref="L40" si="40">I40*K40</f>
        <v>1.024</v>
      </c>
      <c r="M40" s="134">
        <f t="shared" ref="M40" si="41">K40*J40</f>
        <v>133.93766400000001</v>
      </c>
      <c r="N40" s="134">
        <f>7.94/15</f>
        <v>0.52933333333333299</v>
      </c>
      <c r="O40" s="134">
        <f t="shared" ref="O40" si="42">N40*G40</f>
        <v>69.236006000000003</v>
      </c>
      <c r="P40" s="134">
        <f t="shared" ref="P40" si="43">(I40*K40)+N40</f>
        <v>1.5533333333333299</v>
      </c>
      <c r="Q40" s="164">
        <f t="shared" ref="Q40" si="44">P40*G40</f>
        <v>203.17366999999999</v>
      </c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</row>
    <row r="41" spans="1:36" s="30" customFormat="1">
      <c r="A41" s="83" t="str">
        <f>IF(F41&lt;&gt;"",1+MAX($A$2:A40),"")</f>
        <v/>
      </c>
      <c r="B41" s="84"/>
      <c r="C41" s="85"/>
      <c r="D41" s="58"/>
      <c r="E41" s="61"/>
      <c r="F41" s="86"/>
      <c r="G41" s="87"/>
      <c r="H41" s="59"/>
      <c r="I41" s="131"/>
      <c r="J41" s="132"/>
      <c r="K41" s="133"/>
      <c r="L41" s="134"/>
      <c r="M41" s="134"/>
      <c r="N41" s="134"/>
      <c r="O41" s="134"/>
      <c r="P41" s="134"/>
      <c r="Q41" s="165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</row>
    <row r="42" spans="1:36" s="30" customFormat="1">
      <c r="A42" s="83" t="str">
        <f>IF(F42&lt;&gt;"",1+MAX($A$2:A41),"")</f>
        <v/>
      </c>
      <c r="B42" s="84"/>
      <c r="C42" s="85"/>
      <c r="D42" s="79" t="s">
        <v>289</v>
      </c>
      <c r="E42" s="61"/>
      <c r="F42" s="86"/>
      <c r="G42" s="87"/>
      <c r="H42" s="59"/>
      <c r="I42" s="131"/>
      <c r="J42" s="132"/>
      <c r="K42" s="133"/>
      <c r="L42" s="134"/>
      <c r="M42" s="134"/>
      <c r="N42" s="134"/>
      <c r="O42" s="134"/>
      <c r="P42" s="134"/>
      <c r="Q42" s="165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</row>
    <row r="43" spans="1:36" s="30" customFormat="1">
      <c r="A43" s="83">
        <f>IF(F43&lt;&gt;"",1+MAX($A$2:A42),"")</f>
        <v>18</v>
      </c>
      <c r="B43" s="84"/>
      <c r="C43" s="85"/>
      <c r="D43" s="58" t="s">
        <v>411</v>
      </c>
      <c r="E43" s="61">
        <v>2</v>
      </c>
      <c r="F43" s="60">
        <v>0</v>
      </c>
      <c r="G43" s="55">
        <f t="shared" si="38"/>
        <v>2</v>
      </c>
      <c r="H43" s="59" t="s">
        <v>71</v>
      </c>
      <c r="I43" s="131">
        <v>3.5</v>
      </c>
      <c r="J43" s="132">
        <f t="shared" ref="J43:J44" si="45">+I43*G43</f>
        <v>7</v>
      </c>
      <c r="K43" s="133">
        <f>'LABOR SHEET'!C$3</f>
        <v>128</v>
      </c>
      <c r="L43" s="134">
        <f t="shared" ref="L43:L44" si="46">I43*K43</f>
        <v>448</v>
      </c>
      <c r="M43" s="134">
        <f t="shared" ref="M43:M44" si="47">K43*J43</f>
        <v>896</v>
      </c>
      <c r="N43" s="134">
        <v>791.63</v>
      </c>
      <c r="O43" s="134">
        <f t="shared" ref="O43:O44" si="48">N43*G43</f>
        <v>1583.26</v>
      </c>
      <c r="P43" s="134">
        <f t="shared" ref="P43:P44" si="49">(I43*K43)+N43</f>
        <v>1239.6300000000001</v>
      </c>
      <c r="Q43" s="164">
        <f t="shared" ref="Q43:Q44" si="50">P43*G43</f>
        <v>2479.2600000000002</v>
      </c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</row>
    <row r="44" spans="1:36" s="30" customFormat="1">
      <c r="A44" s="83">
        <f>IF(F44&lt;&gt;"",1+MAX($A$2:A43),"")</f>
        <v>19</v>
      </c>
      <c r="B44" s="84"/>
      <c r="C44" s="85"/>
      <c r="D44" s="58" t="s">
        <v>373</v>
      </c>
      <c r="E44" s="61">
        <v>2</v>
      </c>
      <c r="F44" s="60">
        <v>0</v>
      </c>
      <c r="G44" s="55">
        <f t="shared" si="38"/>
        <v>2</v>
      </c>
      <c r="H44" s="59" t="s">
        <v>71</v>
      </c>
      <c r="I44" s="131">
        <v>0.25</v>
      </c>
      <c r="J44" s="132">
        <f t="shared" si="45"/>
        <v>0.5</v>
      </c>
      <c r="K44" s="133">
        <f>'LABOR SHEET'!C$3</f>
        <v>128</v>
      </c>
      <c r="L44" s="134">
        <f t="shared" si="46"/>
        <v>32</v>
      </c>
      <c r="M44" s="134">
        <f t="shared" si="47"/>
        <v>64</v>
      </c>
      <c r="N44" s="134">
        <v>20</v>
      </c>
      <c r="O44" s="134">
        <f t="shared" si="48"/>
        <v>40</v>
      </c>
      <c r="P44" s="134">
        <f t="shared" si="49"/>
        <v>52</v>
      </c>
      <c r="Q44" s="164">
        <f t="shared" si="50"/>
        <v>104</v>
      </c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</row>
    <row r="45" spans="1:36" s="30" customFormat="1">
      <c r="A45" s="83" t="str">
        <f>IF(F45&lt;&gt;"",1+MAX($A$2:A44),"")</f>
        <v/>
      </c>
      <c r="B45" s="84"/>
      <c r="C45" s="85"/>
      <c r="D45" s="58"/>
      <c r="E45" s="61"/>
      <c r="F45" s="86"/>
      <c r="G45" s="87"/>
      <c r="H45" s="59"/>
      <c r="I45" s="131"/>
      <c r="J45" s="132"/>
      <c r="K45" s="133"/>
      <c r="L45" s="134"/>
      <c r="M45" s="134"/>
      <c r="N45" s="134"/>
      <c r="O45" s="134"/>
      <c r="P45" s="134"/>
      <c r="Q45" s="165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</row>
    <row r="46" spans="1:36" s="27" customFormat="1">
      <c r="A46" s="68" t="str">
        <f>IF(F46&lt;&gt;"",1+MAX($A$2:A45),"")</f>
        <v/>
      </c>
      <c r="B46" s="69"/>
      <c r="C46" s="70"/>
      <c r="D46" s="71" t="s">
        <v>48</v>
      </c>
      <c r="E46" s="72"/>
      <c r="F46" s="72"/>
      <c r="G46" s="72"/>
      <c r="H46" s="72"/>
      <c r="I46" s="72"/>
      <c r="J46" s="141"/>
      <c r="K46" s="141"/>
      <c r="L46" s="141"/>
      <c r="M46" s="141"/>
      <c r="N46" s="141"/>
      <c r="O46" s="139"/>
      <c r="P46" s="139"/>
      <c r="Q46" s="159">
        <f>SUM(Q17:Q45)</f>
        <v>10338.2460995</v>
      </c>
      <c r="R46" s="160"/>
    </row>
    <row r="47" spans="1:36" s="30" customFormat="1">
      <c r="A47" s="89" t="str">
        <f>IF(F47&lt;&gt;"",1+MAX($A$2:A16),"")</f>
        <v/>
      </c>
      <c r="B47" s="90"/>
      <c r="C47" s="91"/>
      <c r="D47" s="91"/>
      <c r="E47" s="91"/>
      <c r="F47" s="91"/>
      <c r="G47" s="91"/>
      <c r="H47" s="92"/>
      <c r="I47" s="92"/>
      <c r="J47" s="92"/>
      <c r="K47" s="92"/>
      <c r="L47" s="92"/>
      <c r="M47" s="92"/>
      <c r="N47" s="92"/>
      <c r="O47" s="92"/>
      <c r="P47" s="91"/>
      <c r="Q47" s="168"/>
      <c r="S47" s="162"/>
    </row>
    <row r="48" spans="1:36" s="31" customFormat="1" ht="31.2">
      <c r="A48" s="83"/>
      <c r="B48" s="93"/>
      <c r="C48" s="94"/>
      <c r="D48" s="93"/>
      <c r="E48" s="93"/>
      <c r="F48" s="93"/>
      <c r="G48" s="95"/>
      <c r="H48" s="244" t="s">
        <v>404</v>
      </c>
      <c r="I48" s="244"/>
      <c r="J48" s="142">
        <f>SUM(J17:J47)</f>
        <v>55.770309500000003</v>
      </c>
      <c r="K48" s="245" t="s">
        <v>34</v>
      </c>
      <c r="L48" s="245"/>
      <c r="M48" s="143">
        <f>SUM(M17:M47)</f>
        <v>7138.5996160000004</v>
      </c>
      <c r="N48" s="144" t="s">
        <v>36</v>
      </c>
      <c r="O48" s="145">
        <f>SUM(O17:O47)</f>
        <v>3199.6464835000002</v>
      </c>
      <c r="P48" s="94"/>
      <c r="Q48" s="169"/>
      <c r="S48" s="170"/>
    </row>
    <row r="49" spans="1:36" s="31" customFormat="1">
      <c r="A49" s="96"/>
      <c r="B49" s="97"/>
      <c r="C49" s="98"/>
      <c r="D49" s="99" t="s">
        <v>405</v>
      </c>
      <c r="E49" s="100"/>
      <c r="F49" s="100"/>
      <c r="G49" s="101"/>
      <c r="H49" s="102"/>
      <c r="I49" s="102"/>
      <c r="J49" s="102"/>
      <c r="K49" s="102"/>
      <c r="L49" s="146"/>
      <c r="M49" s="146"/>
      <c r="N49" s="146"/>
      <c r="O49" s="146"/>
      <c r="P49" s="147"/>
      <c r="Q49" s="171">
        <f>SUM(Q8:Q47)/2</f>
        <v>11838.2460995</v>
      </c>
    </row>
    <row r="50" spans="1:36" s="31" customFormat="1">
      <c r="A50" s="103"/>
      <c r="B50" s="97"/>
      <c r="C50" s="104"/>
      <c r="D50" s="105" t="s">
        <v>9</v>
      </c>
      <c r="E50" s="106"/>
      <c r="F50" s="107"/>
      <c r="G50" s="106"/>
      <c r="H50" s="107"/>
      <c r="I50" s="107"/>
      <c r="J50" s="107"/>
      <c r="K50" s="107"/>
      <c r="L50" s="148">
        <v>0.05</v>
      </c>
      <c r="M50" s="148"/>
      <c r="N50" s="148"/>
      <c r="O50" s="148"/>
      <c r="P50" s="148"/>
      <c r="Q50" s="171">
        <f>Q49*L50</f>
        <v>591.91230497499998</v>
      </c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</row>
    <row r="51" spans="1:36" s="31" customFormat="1">
      <c r="A51" s="108"/>
      <c r="B51" s="109"/>
      <c r="C51" s="110"/>
      <c r="D51" s="111" t="s">
        <v>406</v>
      </c>
      <c r="E51" s="112"/>
      <c r="F51" s="113"/>
      <c r="G51" s="112"/>
      <c r="H51" s="113"/>
      <c r="I51" s="113"/>
      <c r="J51" s="113"/>
      <c r="K51" s="113"/>
      <c r="L51" s="149">
        <v>0.2</v>
      </c>
      <c r="M51" s="149"/>
      <c r="N51" s="149"/>
      <c r="O51" s="149"/>
      <c r="P51" s="149"/>
      <c r="Q51" s="173">
        <f>O48*L51</f>
        <v>639.92929670000001</v>
      </c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</row>
    <row r="52" spans="1:36" s="31" customFormat="1">
      <c r="A52" s="108"/>
      <c r="B52" s="109"/>
      <c r="C52" s="110"/>
      <c r="D52" s="111" t="s">
        <v>407</v>
      </c>
      <c r="E52" s="112"/>
      <c r="F52" s="113"/>
      <c r="G52" s="112"/>
      <c r="H52" s="113"/>
      <c r="I52" s="113"/>
      <c r="J52" s="113"/>
      <c r="K52" s="113"/>
      <c r="L52" s="149">
        <v>0.31</v>
      </c>
      <c r="M52" s="149"/>
      <c r="N52" s="149"/>
      <c r="O52" s="149"/>
      <c r="P52" s="149"/>
      <c r="Q52" s="173">
        <f>M48*L52</f>
        <v>2212.96588096</v>
      </c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</row>
    <row r="53" spans="1:36" s="31" customFormat="1">
      <c r="A53" s="114"/>
      <c r="B53" s="115"/>
      <c r="C53" s="116"/>
      <c r="D53" s="117" t="s">
        <v>12</v>
      </c>
      <c r="E53" s="118"/>
      <c r="F53" s="119"/>
      <c r="G53" s="118"/>
      <c r="H53" s="119"/>
      <c r="I53" s="119"/>
      <c r="J53" s="119"/>
      <c r="K53" s="119"/>
      <c r="L53" s="150">
        <v>0.1</v>
      </c>
      <c r="M53" s="151"/>
      <c r="N53" s="151"/>
      <c r="O53" s="151"/>
      <c r="P53" s="151"/>
      <c r="Q53" s="174">
        <f>Q49*L53</f>
        <v>1183.82460995</v>
      </c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</row>
    <row r="54" spans="1:36" s="31" customFormat="1">
      <c r="A54" s="114"/>
      <c r="B54" s="115"/>
      <c r="C54" s="116"/>
      <c r="D54" s="117" t="s">
        <v>13</v>
      </c>
      <c r="E54" s="118"/>
      <c r="F54" s="119"/>
      <c r="G54" s="118"/>
      <c r="H54" s="119"/>
      <c r="I54" s="119"/>
      <c r="J54" s="119"/>
      <c r="K54" s="119"/>
      <c r="L54" s="150">
        <v>0.1</v>
      </c>
      <c r="M54" s="151"/>
      <c r="N54" s="151"/>
      <c r="O54" s="151"/>
      <c r="P54" s="151"/>
      <c r="Q54" s="174">
        <f>Q49*L54</f>
        <v>1183.82460995</v>
      </c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</row>
    <row r="55" spans="1:36" s="31" customFormat="1">
      <c r="A55" s="114"/>
      <c r="B55" s="115"/>
      <c r="C55" s="116"/>
      <c r="D55" s="117" t="s">
        <v>14</v>
      </c>
      <c r="E55" s="118"/>
      <c r="F55" s="119"/>
      <c r="G55" s="118"/>
      <c r="H55" s="119"/>
      <c r="I55" s="119"/>
      <c r="J55" s="119"/>
      <c r="K55" s="119"/>
      <c r="L55" s="152">
        <v>9.1999999999999998E-2</v>
      </c>
      <c r="M55" s="151"/>
      <c r="N55" s="151"/>
      <c r="O55" s="151"/>
      <c r="P55" s="151"/>
      <c r="Q55" s="174">
        <f>Q49*L55</f>
        <v>1089.118641154</v>
      </c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</row>
    <row r="56" spans="1:36" s="31" customFormat="1">
      <c r="A56" s="114"/>
      <c r="B56" s="115"/>
      <c r="C56" s="116"/>
      <c r="D56" s="117" t="s">
        <v>15</v>
      </c>
      <c r="E56" s="118"/>
      <c r="F56" s="119"/>
      <c r="G56" s="118"/>
      <c r="H56" s="119"/>
      <c r="I56" s="119"/>
      <c r="J56" s="119"/>
      <c r="K56" s="119"/>
      <c r="L56" s="152">
        <v>1.4999999999999999E-2</v>
      </c>
      <c r="M56" s="152"/>
      <c r="N56" s="152"/>
      <c r="O56" s="152"/>
      <c r="P56" s="152"/>
      <c r="Q56" s="174">
        <f>Q49*L56</f>
        <v>177.57369149249999</v>
      </c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</row>
    <row r="57" spans="1:36" s="31" customFormat="1">
      <c r="A57" s="120"/>
      <c r="B57" s="121"/>
      <c r="C57" s="122"/>
      <c r="D57" s="123" t="s">
        <v>16</v>
      </c>
      <c r="E57" s="124"/>
      <c r="F57" s="124"/>
      <c r="G57" s="125"/>
      <c r="H57" s="124"/>
      <c r="I57" s="124"/>
      <c r="J57" s="124"/>
      <c r="K57" s="124"/>
      <c r="L57" s="153"/>
      <c r="M57" s="153"/>
      <c r="N57" s="153"/>
      <c r="O57" s="153"/>
      <c r="P57" s="153"/>
      <c r="Q57" s="175">
        <f>SUM(Q49:Q56)</f>
        <v>18917.395134681501</v>
      </c>
    </row>
    <row r="60" spans="1:36">
      <c r="M60" s="154"/>
    </row>
  </sheetData>
  <mergeCells count="7">
    <mergeCell ref="A2:Q2"/>
    <mergeCell ref="B3:C3"/>
    <mergeCell ref="B4:C4"/>
    <mergeCell ref="B5:C5"/>
    <mergeCell ref="H48:I48"/>
    <mergeCell ref="K48:L48"/>
    <mergeCell ref="Q8:Q14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H36"/>
  <sheetViews>
    <sheetView workbookViewId="0">
      <selection activeCell="J19" sqref="J19"/>
    </sheetView>
  </sheetViews>
  <sheetFormatPr defaultColWidth="9.09765625" defaultRowHeight="14.4"/>
  <cols>
    <col min="1" max="1" width="26.8984375" style="1" customWidth="1"/>
    <col min="2" max="2" width="19.59765625" style="2" customWidth="1"/>
    <col min="3" max="3" width="20.5" style="2" customWidth="1"/>
    <col min="4" max="16384" width="9.09765625" style="2"/>
  </cols>
  <sheetData>
    <row r="1" spans="1:3" ht="15.6">
      <c r="A1" s="3"/>
      <c r="B1" s="4" t="s">
        <v>412</v>
      </c>
      <c r="C1" s="5" t="s">
        <v>413</v>
      </c>
    </row>
    <row r="2" spans="1:3" ht="15.6">
      <c r="A2" s="6"/>
      <c r="B2" s="7"/>
      <c r="C2" s="8"/>
    </row>
    <row r="3" spans="1:3" ht="15.6">
      <c r="A3" s="9" t="s">
        <v>5</v>
      </c>
      <c r="B3" s="10" t="s">
        <v>414</v>
      </c>
      <c r="C3" s="11">
        <v>128</v>
      </c>
    </row>
    <row r="4" spans="1:3" ht="15.6">
      <c r="A4" s="12"/>
      <c r="B4" s="13"/>
      <c r="C4" s="14"/>
    </row>
    <row r="5" spans="1:3">
      <c r="A5" s="3"/>
      <c r="B5" s="3"/>
      <c r="C5" s="3"/>
    </row>
    <row r="6" spans="1:3">
      <c r="A6" s="3"/>
      <c r="B6" s="3"/>
      <c r="C6" s="3"/>
    </row>
    <row r="7" spans="1:3" ht="15.6">
      <c r="A7" s="3"/>
      <c r="B7" s="249" t="s">
        <v>27</v>
      </c>
      <c r="C7" s="250"/>
    </row>
    <row r="8" spans="1:3" ht="15.6">
      <c r="A8" s="15" t="s">
        <v>415</v>
      </c>
      <c r="B8" s="16" t="s">
        <v>71</v>
      </c>
      <c r="C8" s="17">
        <v>0</v>
      </c>
    </row>
    <row r="9" spans="1:3" ht="15.6">
      <c r="A9" s="18" t="s">
        <v>416</v>
      </c>
      <c r="B9" s="19" t="s">
        <v>54</v>
      </c>
      <c r="C9" s="20">
        <v>0.05</v>
      </c>
    </row>
    <row r="10" spans="1:3" ht="15.6">
      <c r="A10" s="18" t="s">
        <v>417</v>
      </c>
      <c r="B10" s="19" t="s">
        <v>297</v>
      </c>
      <c r="C10" s="20">
        <v>0.1</v>
      </c>
    </row>
    <row r="11" spans="1:3" ht="15.6">
      <c r="A11" s="18" t="s">
        <v>418</v>
      </c>
      <c r="B11" s="19" t="s">
        <v>419</v>
      </c>
      <c r="C11" s="20">
        <v>0.1</v>
      </c>
    </row>
    <row r="12" spans="1:3" ht="15.6">
      <c r="A12" s="18" t="s">
        <v>420</v>
      </c>
      <c r="B12" s="19" t="s">
        <v>421</v>
      </c>
      <c r="C12" s="20">
        <v>0.1</v>
      </c>
    </row>
    <row r="13" spans="1:3" ht="15.6">
      <c r="A13" s="18" t="s">
        <v>422</v>
      </c>
      <c r="B13" s="19" t="s">
        <v>41</v>
      </c>
      <c r="C13" s="20">
        <v>0</v>
      </c>
    </row>
    <row r="14" spans="1:3" ht="15.6">
      <c r="A14" s="18" t="s">
        <v>423</v>
      </c>
      <c r="B14" s="19" t="s">
        <v>424</v>
      </c>
      <c r="C14" s="20">
        <v>0</v>
      </c>
    </row>
    <row r="15" spans="1:3" ht="15.6">
      <c r="A15" s="18" t="s">
        <v>425</v>
      </c>
      <c r="B15" s="19" t="s">
        <v>426</v>
      </c>
      <c r="C15" s="20">
        <v>0</v>
      </c>
    </row>
    <row r="16" spans="1:3" ht="15.6">
      <c r="A16" s="18" t="s">
        <v>427</v>
      </c>
      <c r="B16" s="19" t="s">
        <v>428</v>
      </c>
      <c r="C16" s="20">
        <v>0</v>
      </c>
    </row>
    <row r="17" spans="1:3" ht="15.6">
      <c r="A17" s="18" t="s">
        <v>429</v>
      </c>
      <c r="B17" s="19" t="s">
        <v>430</v>
      </c>
      <c r="C17" s="20">
        <v>0</v>
      </c>
    </row>
    <row r="18" spans="1:3" ht="15.6">
      <c r="A18" s="18" t="s">
        <v>431</v>
      </c>
      <c r="B18" s="19" t="s">
        <v>432</v>
      </c>
      <c r="C18" s="20">
        <v>0.1</v>
      </c>
    </row>
    <row r="19" spans="1:3" ht="15.6">
      <c r="A19" s="18" t="s">
        <v>433</v>
      </c>
      <c r="B19" s="19" t="s">
        <v>434</v>
      </c>
      <c r="C19" s="20">
        <v>0.1</v>
      </c>
    </row>
    <row r="20" spans="1:3" ht="15.6">
      <c r="A20" s="18" t="s">
        <v>435</v>
      </c>
      <c r="B20" s="19" t="s">
        <v>436</v>
      </c>
      <c r="C20" s="20">
        <v>0</v>
      </c>
    </row>
    <row r="21" spans="1:3" ht="15.6">
      <c r="A21" s="18" t="s">
        <v>437</v>
      </c>
      <c r="B21" s="19" t="s">
        <v>438</v>
      </c>
      <c r="C21" s="20">
        <v>0</v>
      </c>
    </row>
    <row r="22" spans="1:3" ht="15.6">
      <c r="A22" s="18" t="s">
        <v>439</v>
      </c>
      <c r="B22" s="19" t="s">
        <v>439</v>
      </c>
      <c r="C22" s="20">
        <v>0.1</v>
      </c>
    </row>
    <row r="23" spans="1:3" ht="15.6">
      <c r="A23" s="18" t="s">
        <v>440</v>
      </c>
      <c r="B23" s="19" t="s">
        <v>441</v>
      </c>
      <c r="C23" s="20">
        <v>0</v>
      </c>
    </row>
    <row r="24" spans="1:3" ht="15.6">
      <c r="A24" s="18" t="s">
        <v>442</v>
      </c>
      <c r="B24" s="19" t="s">
        <v>443</v>
      </c>
      <c r="C24" s="20">
        <v>0</v>
      </c>
    </row>
    <row r="25" spans="1:3" ht="15.6">
      <c r="A25" s="18" t="s">
        <v>444</v>
      </c>
      <c r="B25" s="19" t="s">
        <v>445</v>
      </c>
      <c r="C25" s="20">
        <v>0</v>
      </c>
    </row>
    <row r="26" spans="1:3" ht="15.6">
      <c r="A26" s="18" t="s">
        <v>435</v>
      </c>
      <c r="B26" s="19" t="s">
        <v>446</v>
      </c>
      <c r="C26" s="20">
        <v>0</v>
      </c>
    </row>
    <row r="27" spans="1:3" ht="15.6">
      <c r="A27" s="18" t="s">
        <v>447</v>
      </c>
      <c r="B27" s="19" t="s">
        <v>448</v>
      </c>
      <c r="C27" s="20">
        <v>0</v>
      </c>
    </row>
    <row r="28" spans="1:3" ht="15.6">
      <c r="A28" s="18" t="s">
        <v>449</v>
      </c>
      <c r="B28" s="19" t="s">
        <v>450</v>
      </c>
      <c r="C28" s="20">
        <v>0</v>
      </c>
    </row>
    <row r="29" spans="1:3" ht="15.6">
      <c r="A29" s="18" t="s">
        <v>451</v>
      </c>
      <c r="B29" s="19" t="s">
        <v>452</v>
      </c>
      <c r="C29" s="20">
        <v>0.1</v>
      </c>
    </row>
    <row r="30" spans="1:3" ht="15.6">
      <c r="A30" s="21" t="s">
        <v>453</v>
      </c>
      <c r="B30" s="22" t="s">
        <v>453</v>
      </c>
      <c r="C30" s="23">
        <v>0</v>
      </c>
    </row>
    <row r="33" spans="1:8">
      <c r="A33" s="24" t="s">
        <v>454</v>
      </c>
      <c r="B33" s="25"/>
      <c r="C33" s="25"/>
      <c r="D33" s="25"/>
      <c r="E33" s="25"/>
      <c r="F33" s="25"/>
      <c r="G33" s="25"/>
      <c r="H33" s="25"/>
    </row>
    <row r="34" spans="1:8">
      <c r="A34" s="25" t="s">
        <v>455</v>
      </c>
      <c r="B34" s="25"/>
      <c r="C34" s="25"/>
      <c r="D34" s="25"/>
      <c r="E34" s="25"/>
      <c r="F34" s="25"/>
      <c r="G34" s="25"/>
      <c r="H34" s="25"/>
    </row>
    <row r="35" spans="1:8">
      <c r="A35" s="25" t="s">
        <v>456</v>
      </c>
      <c r="B35" s="25"/>
      <c r="C35" s="25"/>
      <c r="D35" s="25"/>
      <c r="E35" s="25"/>
      <c r="F35" s="25"/>
      <c r="G35" s="25"/>
      <c r="H35" s="25"/>
    </row>
    <row r="36" spans="1:8">
      <c r="A36" s="25" t="s">
        <v>457</v>
      </c>
      <c r="B36" s="25"/>
      <c r="C36" s="25"/>
      <c r="D36" s="25"/>
      <c r="E36" s="25"/>
      <c r="F36" s="25"/>
      <c r="G36" s="25"/>
      <c r="H36" s="25"/>
    </row>
  </sheetData>
  <mergeCells count="1">
    <mergeCell ref="B7:C7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F47021E2-8793-411E-B075-318530D433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General Summary</vt:lpstr>
      <vt:lpstr>Base Bid</vt:lpstr>
      <vt:lpstr>Add Alternate</vt:lpstr>
      <vt:lpstr>LABOR SHEET</vt:lpstr>
      <vt:lpstr>'Add Alternate'!Print_Area</vt:lpstr>
      <vt:lpstr>'Base Bid'!Print_Area</vt:lpstr>
      <vt:lpstr>'General Summary'!Print_Area</vt:lpstr>
      <vt:lpstr>'Add Alternate'!Print_Titles</vt:lpstr>
      <vt:lpstr>'Base Bid'!Print_Titles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2026-08-07T19:52:55Z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{F47021E2-8793-411E-B075-318530D4334E}</vt:lpwstr>
  </property>
  <property fmtid="{D5CDD505-2E9C-101B-9397-08002B2CF9AE}" pid="6" name="ICV">
    <vt:lpwstr>BD852CA6DDAE433D943537E67CA72312_13</vt:lpwstr>
  </property>
  <property fmtid="{D5CDD505-2E9C-101B-9397-08002B2CF9AE}" pid="7" name="KSOProductBuildVer">
    <vt:lpwstr>1033-12.2.0.23196</vt:lpwstr>
  </property>
</Properties>
</file>