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City\Downloads\"/>
    </mc:Choice>
  </mc:AlternateContent>
  <xr:revisionPtr revIDLastSave="0" documentId="13_ncr:1_{9A984C84-1160-44D7-AC38-B439D1FD393E}" xr6:coauthVersionLast="47" xr6:coauthVersionMax="47" xr10:uidLastSave="{00000000-0000-0000-0000-000000000000}"/>
  <bookViews>
    <workbookView xWindow="-108" yWindow="-108" windowWidth="23256" windowHeight="12576" activeTab="1" xr2:uid="{00000000-000D-0000-FFFF-FFFF00000000}"/>
  </bookViews>
  <sheets>
    <sheet name="General Summary" sheetId="4" r:id="rId1"/>
    <sheet name="Takeoff Breakdown" sheetId="1" r:id="rId2"/>
    <sheet name="LABOR SHEET" sheetId="6" r:id="rId3"/>
  </sheets>
  <definedNames>
    <definedName name="_xlnm._FilterDatabase" localSheetId="1" hidden="1">'Takeoff Breakdown'!$A$6:$Q$342</definedName>
    <definedName name="_xlnm.Print_Area" localSheetId="0">'General Summary'!$A$1:$N$13</definedName>
    <definedName name="_xlnm.Print_Area" localSheetId="1">'Takeoff Breakdown'!$A$2:$Q$342</definedName>
    <definedName name="_xlnm.Print_Titles" localSheetId="1">'Takeoff Breakdown'!$1:$6</definedName>
  </definedNames>
  <calcPr calcId="181029"/>
</workbook>
</file>

<file path=xl/calcChain.xml><?xml version="1.0" encoding="utf-8"?>
<calcChain xmlns="http://schemas.openxmlformats.org/spreadsheetml/2006/main">
  <c r="A12" i="1" l="1"/>
  <c r="A13" i="1" s="1"/>
  <c r="A15" i="1"/>
  <c r="A16" i="1"/>
  <c r="A17" i="1"/>
  <c r="A18" i="1"/>
  <c r="A28" i="1"/>
  <c r="A31" i="1"/>
  <c r="A33" i="1"/>
  <c r="A37" i="1"/>
  <c r="A42" i="1"/>
  <c r="A44" i="1"/>
  <c r="A45" i="1"/>
  <c r="A81" i="1"/>
  <c r="A82" i="1"/>
  <c r="A89" i="1"/>
  <c r="A90" i="1"/>
  <c r="A91" i="1"/>
  <c r="A98" i="1"/>
  <c r="A99" i="1"/>
  <c r="A129" i="1"/>
  <c r="A130" i="1"/>
  <c r="A141" i="1"/>
  <c r="A142" i="1"/>
  <c r="A156" i="1"/>
  <c r="A157" i="1"/>
  <c r="A211" i="1"/>
  <c r="A212" i="1"/>
  <c r="A248" i="1"/>
  <c r="A249" i="1"/>
  <c r="A272" i="1"/>
  <c r="A273" i="1"/>
  <c r="A276" i="1"/>
  <c r="A277" i="1"/>
  <c r="A280" i="1"/>
  <c r="A281" i="1"/>
  <c r="A282" i="1"/>
  <c r="A286" i="1"/>
  <c r="A287" i="1"/>
  <c r="A290" i="1"/>
  <c r="A291" i="1"/>
  <c r="A301" i="1"/>
  <c r="A302" i="1"/>
  <c r="A312" i="1"/>
  <c r="A313" i="1"/>
  <c r="A314" i="1"/>
  <c r="A319" i="1"/>
  <c r="A320" i="1"/>
  <c r="A321" i="1"/>
  <c r="A326" i="1"/>
  <c r="A327" i="1"/>
  <c r="A332" i="1"/>
  <c r="Q342" i="1"/>
  <c r="Q341" i="1"/>
  <c r="Q340" i="1"/>
  <c r="Q339" i="1"/>
  <c r="Q338" i="1"/>
  <c r="Q337" i="1"/>
  <c r="A14" i="1" l="1"/>
  <c r="K271" i="1"/>
  <c r="L271" i="1" s="1"/>
  <c r="K270" i="1"/>
  <c r="L270" i="1" s="1"/>
  <c r="K155" i="1"/>
  <c r="L155" i="1" s="1"/>
  <c r="N152" i="1"/>
  <c r="I152" i="1"/>
  <c r="N149" i="1"/>
  <c r="I149" i="1"/>
  <c r="K154" i="1"/>
  <c r="L154" i="1" s="1"/>
  <c r="K153" i="1"/>
  <c r="L153" i="1" s="1"/>
  <c r="K151" i="1"/>
  <c r="L151" i="1" s="1"/>
  <c r="K147" i="1"/>
  <c r="L147" i="1" s="1"/>
  <c r="K146" i="1"/>
  <c r="P146" i="1" s="1"/>
  <c r="N128" i="1"/>
  <c r="N127" i="1"/>
  <c r="N125" i="1"/>
  <c r="N124" i="1"/>
  <c r="N122" i="1"/>
  <c r="N121" i="1"/>
  <c r="N120" i="1"/>
  <c r="N119" i="1"/>
  <c r="N118" i="1"/>
  <c r="N117" i="1"/>
  <c r="N116" i="1"/>
  <c r="N115" i="1"/>
  <c r="N114" i="1"/>
  <c r="N113" i="1"/>
  <c r="N111" i="1"/>
  <c r="N110" i="1"/>
  <c r="N108" i="1"/>
  <c r="N107" i="1"/>
  <c r="N106" i="1"/>
  <c r="N105" i="1"/>
  <c r="N104" i="1"/>
  <c r="N103" i="1"/>
  <c r="N102" i="1"/>
  <c r="N101" i="1"/>
  <c r="N100" i="1"/>
  <c r="I128" i="1"/>
  <c r="I125" i="1"/>
  <c r="I124" i="1"/>
  <c r="I122" i="1"/>
  <c r="L122" i="1" s="1"/>
  <c r="I121" i="1"/>
  <c r="I120" i="1"/>
  <c r="I119" i="1"/>
  <c r="I118" i="1"/>
  <c r="I117" i="1"/>
  <c r="L117" i="1" s="1"/>
  <c r="I116" i="1"/>
  <c r="I115" i="1"/>
  <c r="I114" i="1"/>
  <c r="I113" i="1"/>
  <c r="I111" i="1"/>
  <c r="I110" i="1"/>
  <c r="I109" i="1"/>
  <c r="I108" i="1"/>
  <c r="I107" i="1"/>
  <c r="I106" i="1"/>
  <c r="I105" i="1"/>
  <c r="I104" i="1"/>
  <c r="I103" i="1"/>
  <c r="I102" i="1"/>
  <c r="I101" i="1"/>
  <c r="L101" i="1" s="1"/>
  <c r="I100" i="1"/>
  <c r="N126" i="1"/>
  <c r="N123" i="1"/>
  <c r="N112" i="1"/>
  <c r="N109" i="1"/>
  <c r="I127" i="1"/>
  <c r="I126" i="1"/>
  <c r="I123" i="1"/>
  <c r="I112" i="1"/>
  <c r="K101" i="1"/>
  <c r="P101" i="1"/>
  <c r="K102" i="1"/>
  <c r="L102" i="1" s="1"/>
  <c r="L103" i="1"/>
  <c r="K103" i="1"/>
  <c r="K104" i="1"/>
  <c r="K105" i="1"/>
  <c r="P105" i="1" s="1"/>
  <c r="K106" i="1"/>
  <c r="L106" i="1" s="1"/>
  <c r="K107" i="1"/>
  <c r="K108" i="1"/>
  <c r="K109" i="1"/>
  <c r="K110" i="1"/>
  <c r="L110" i="1" s="1"/>
  <c r="K111" i="1"/>
  <c r="K112" i="1"/>
  <c r="K113" i="1"/>
  <c r="K114" i="1"/>
  <c r="K115" i="1"/>
  <c r="K116" i="1"/>
  <c r="K117" i="1"/>
  <c r="P117" i="1"/>
  <c r="K118" i="1"/>
  <c r="K119" i="1"/>
  <c r="L119" i="1" s="1"/>
  <c r="K120" i="1"/>
  <c r="K121" i="1"/>
  <c r="L121" i="1"/>
  <c r="K122" i="1"/>
  <c r="L123" i="1"/>
  <c r="K123" i="1"/>
  <c r="K124" i="1"/>
  <c r="K125" i="1"/>
  <c r="K126" i="1"/>
  <c r="L126" i="1" s="1"/>
  <c r="K127" i="1"/>
  <c r="L127" i="1" s="1"/>
  <c r="K128" i="1"/>
  <c r="N93" i="1"/>
  <c r="I93" i="1"/>
  <c r="N88" i="1"/>
  <c r="N83" i="1"/>
  <c r="I83" i="1"/>
  <c r="K41" i="1"/>
  <c r="L41" i="1" s="1"/>
  <c r="P41" i="1"/>
  <c r="K40" i="1"/>
  <c r="P40" i="1" s="1"/>
  <c r="K25" i="1"/>
  <c r="L25" i="1" s="1"/>
  <c r="P25" i="1"/>
  <c r="K26" i="1"/>
  <c r="K23" i="1"/>
  <c r="L23" i="1" s="1"/>
  <c r="K20" i="1"/>
  <c r="L20" i="1"/>
  <c r="P20" i="1"/>
  <c r="K21" i="1"/>
  <c r="L21" i="1" s="1"/>
  <c r="A19" i="1" l="1"/>
  <c r="A20" i="1"/>
  <c r="P271" i="1"/>
  <c r="P270" i="1"/>
  <c r="P155" i="1"/>
  <c r="P154" i="1"/>
  <c r="P153" i="1"/>
  <c r="P151" i="1"/>
  <c r="L146" i="1"/>
  <c r="P147" i="1"/>
  <c r="P113" i="1"/>
  <c r="P121" i="1"/>
  <c r="L118" i="1"/>
  <c r="L114" i="1"/>
  <c r="P109" i="1"/>
  <c r="P21" i="1"/>
  <c r="P23" i="1"/>
  <c r="L26" i="1"/>
  <c r="L40" i="1"/>
  <c r="L125" i="1"/>
  <c r="L113" i="1"/>
  <c r="L109" i="1"/>
  <c r="L105" i="1"/>
  <c r="P26" i="1"/>
  <c r="P125" i="1"/>
  <c r="L107" i="1"/>
  <c r="L111" i="1"/>
  <c r="L115" i="1"/>
  <c r="P126" i="1"/>
  <c r="P128" i="1"/>
  <c r="L128" i="1"/>
  <c r="P124" i="1"/>
  <c r="L124" i="1"/>
  <c r="P120" i="1"/>
  <c r="L120" i="1"/>
  <c r="P116" i="1"/>
  <c r="L116" i="1"/>
  <c r="P112" i="1"/>
  <c r="L112" i="1"/>
  <c r="P108" i="1"/>
  <c r="L108" i="1"/>
  <c r="P104" i="1"/>
  <c r="L104" i="1"/>
  <c r="P127" i="1"/>
  <c r="P123" i="1"/>
  <c r="P119" i="1"/>
  <c r="P115" i="1"/>
  <c r="P111" i="1"/>
  <c r="P107" i="1"/>
  <c r="P103" i="1"/>
  <c r="P122" i="1"/>
  <c r="P118" i="1"/>
  <c r="P114" i="1"/>
  <c r="P110" i="1"/>
  <c r="P106" i="1"/>
  <c r="P102" i="1"/>
  <c r="G274" i="1"/>
  <c r="G275" i="1"/>
  <c r="A21" i="1" l="1"/>
  <c r="K331" i="1"/>
  <c r="K330" i="1"/>
  <c r="P330" i="1" s="1"/>
  <c r="K329" i="1"/>
  <c r="K328" i="1"/>
  <c r="K325" i="1"/>
  <c r="K324" i="1"/>
  <c r="K323" i="1"/>
  <c r="K322" i="1"/>
  <c r="K318" i="1"/>
  <c r="K317" i="1"/>
  <c r="K316" i="1"/>
  <c r="K315" i="1"/>
  <c r="L315" i="1" s="1"/>
  <c r="K311" i="1"/>
  <c r="L311" i="1" s="1"/>
  <c r="K310" i="1"/>
  <c r="P310" i="1" s="1"/>
  <c r="K309" i="1"/>
  <c r="P309" i="1" s="1"/>
  <c r="K308" i="1"/>
  <c r="P308" i="1" s="1"/>
  <c r="K307" i="1"/>
  <c r="L306" i="1"/>
  <c r="K306" i="1"/>
  <c r="P306" i="1" s="1"/>
  <c r="K305" i="1"/>
  <c r="K304" i="1"/>
  <c r="K300" i="1"/>
  <c r="K299" i="1"/>
  <c r="L298" i="1"/>
  <c r="K298" i="1"/>
  <c r="P298" i="1" s="1"/>
  <c r="K297" i="1"/>
  <c r="L297" i="1" s="1"/>
  <c r="K296" i="1"/>
  <c r="P296" i="1" s="1"/>
  <c r="K295" i="1"/>
  <c r="P295" i="1" s="1"/>
  <c r="K294" i="1"/>
  <c r="P294" i="1" s="1"/>
  <c r="K293" i="1"/>
  <c r="L293" i="1" s="1"/>
  <c r="K292" i="1"/>
  <c r="P292" i="1" s="1"/>
  <c r="K289" i="1"/>
  <c r="K288" i="1"/>
  <c r="K285" i="1"/>
  <c r="K284" i="1"/>
  <c r="K283" i="1"/>
  <c r="K279" i="1"/>
  <c r="L279" i="1" s="1"/>
  <c r="K278" i="1"/>
  <c r="K269" i="1"/>
  <c r="L269" i="1" s="1"/>
  <c r="K268" i="1"/>
  <c r="K267" i="1"/>
  <c r="L267" i="1" s="1"/>
  <c r="L266" i="1"/>
  <c r="K266" i="1"/>
  <c r="P266" i="1" s="1"/>
  <c r="K265" i="1"/>
  <c r="L265" i="1" s="1"/>
  <c r="K264" i="1"/>
  <c r="K263" i="1"/>
  <c r="K262" i="1"/>
  <c r="K261" i="1"/>
  <c r="L261" i="1" s="1"/>
  <c r="K260" i="1"/>
  <c r="K259" i="1"/>
  <c r="L259" i="1" s="1"/>
  <c r="K258" i="1"/>
  <c r="K257" i="1"/>
  <c r="P257" i="1" s="1"/>
  <c r="K256" i="1"/>
  <c r="K255" i="1"/>
  <c r="L255" i="1" s="1"/>
  <c r="K254" i="1"/>
  <c r="P254" i="1" s="1"/>
  <c r="K253" i="1"/>
  <c r="L253" i="1" s="1"/>
  <c r="K252" i="1"/>
  <c r="K251" i="1"/>
  <c r="K250" i="1"/>
  <c r="P250" i="1" s="1"/>
  <c r="K247" i="1"/>
  <c r="L247" i="1" s="1"/>
  <c r="K246" i="1"/>
  <c r="P246" i="1" s="1"/>
  <c r="K245" i="1"/>
  <c r="L245" i="1" s="1"/>
  <c r="K244" i="1"/>
  <c r="K243" i="1"/>
  <c r="L242" i="1"/>
  <c r="K242" i="1"/>
  <c r="P242" i="1" s="1"/>
  <c r="K241" i="1"/>
  <c r="L241" i="1" s="1"/>
  <c r="K240" i="1"/>
  <c r="K239" i="1"/>
  <c r="K238" i="1"/>
  <c r="K237" i="1"/>
  <c r="L237" i="1" s="1"/>
  <c r="K236" i="1"/>
  <c r="K235" i="1"/>
  <c r="L235" i="1" s="1"/>
  <c r="K234" i="1"/>
  <c r="K233" i="1"/>
  <c r="L233" i="1" s="1"/>
  <c r="K232" i="1"/>
  <c r="K231" i="1"/>
  <c r="L231" i="1" s="1"/>
  <c r="K230" i="1"/>
  <c r="P230" i="1" s="1"/>
  <c r="K229" i="1"/>
  <c r="L229" i="1" s="1"/>
  <c r="K228" i="1"/>
  <c r="K227" i="1"/>
  <c r="L227" i="1" s="1"/>
  <c r="L226" i="1"/>
  <c r="K226" i="1"/>
  <c r="P226" i="1" s="1"/>
  <c r="K225" i="1"/>
  <c r="L225" i="1" s="1"/>
  <c r="K224" i="1"/>
  <c r="K223" i="1"/>
  <c r="K222" i="1"/>
  <c r="K221" i="1"/>
  <c r="L221" i="1" s="1"/>
  <c r="K220" i="1"/>
  <c r="K219" i="1"/>
  <c r="L219" i="1" s="1"/>
  <c r="K218" i="1"/>
  <c r="K217" i="1"/>
  <c r="L217" i="1" s="1"/>
  <c r="K216" i="1"/>
  <c r="K215" i="1"/>
  <c r="L215" i="1" s="1"/>
  <c r="K214" i="1"/>
  <c r="P214" i="1" s="1"/>
  <c r="K213" i="1"/>
  <c r="L213" i="1" s="1"/>
  <c r="K210" i="1"/>
  <c r="L210" i="1" s="1"/>
  <c r="K209" i="1"/>
  <c r="P209" i="1" s="1"/>
  <c r="K208" i="1"/>
  <c r="P208" i="1" s="1"/>
  <c r="K207" i="1"/>
  <c r="K206" i="1"/>
  <c r="K205" i="1"/>
  <c r="K204" i="1"/>
  <c r="P204" i="1" s="1"/>
  <c r="K203" i="1"/>
  <c r="K202" i="1"/>
  <c r="L202" i="1" s="1"/>
  <c r="K201" i="1"/>
  <c r="P201" i="1" s="1"/>
  <c r="K200" i="1"/>
  <c r="P200" i="1" s="1"/>
  <c r="K199" i="1"/>
  <c r="L199" i="1" s="1"/>
  <c r="K198" i="1"/>
  <c r="L198" i="1" s="1"/>
  <c r="K197" i="1"/>
  <c r="P197" i="1" s="1"/>
  <c r="K196" i="1"/>
  <c r="P196" i="1" s="1"/>
  <c r="K195" i="1"/>
  <c r="L195" i="1" s="1"/>
  <c r="K194" i="1"/>
  <c r="L194" i="1" s="1"/>
  <c r="L193" i="1"/>
  <c r="K193" i="1"/>
  <c r="P193" i="1" s="1"/>
  <c r="K192" i="1"/>
  <c r="P192" i="1" s="1"/>
  <c r="K191" i="1"/>
  <c r="K190" i="1"/>
  <c r="K189" i="1"/>
  <c r="K188" i="1"/>
  <c r="P188" i="1" s="1"/>
  <c r="K187" i="1"/>
  <c r="K186" i="1"/>
  <c r="L186" i="1" s="1"/>
  <c r="K185" i="1"/>
  <c r="P185" i="1" s="1"/>
  <c r="K184" i="1"/>
  <c r="K183" i="1"/>
  <c r="L183" i="1" s="1"/>
  <c r="K182" i="1"/>
  <c r="L182" i="1" s="1"/>
  <c r="K181" i="1"/>
  <c r="P181" i="1" s="1"/>
  <c r="K180" i="1"/>
  <c r="K179" i="1"/>
  <c r="K178" i="1"/>
  <c r="L178" i="1" s="1"/>
  <c r="K177" i="1"/>
  <c r="P177" i="1" s="1"/>
  <c r="K176" i="1"/>
  <c r="P176" i="1" s="1"/>
  <c r="K175" i="1"/>
  <c r="K174" i="1"/>
  <c r="K173" i="1"/>
  <c r="K172" i="1"/>
  <c r="K171" i="1"/>
  <c r="K170" i="1"/>
  <c r="L170" i="1" s="1"/>
  <c r="K169" i="1"/>
  <c r="P169" i="1" s="1"/>
  <c r="K168" i="1"/>
  <c r="K167" i="1"/>
  <c r="L167" i="1" s="1"/>
  <c r="K166" i="1"/>
  <c r="L166" i="1" s="1"/>
  <c r="K165" i="1"/>
  <c r="P165" i="1" s="1"/>
  <c r="K164" i="1"/>
  <c r="K163" i="1"/>
  <c r="L163" i="1" s="1"/>
  <c r="K162" i="1"/>
  <c r="L162" i="1" s="1"/>
  <c r="K161" i="1"/>
  <c r="P161" i="1" s="1"/>
  <c r="K160" i="1"/>
  <c r="K159" i="1"/>
  <c r="K158" i="1"/>
  <c r="L158" i="1" s="1"/>
  <c r="K152" i="1"/>
  <c r="K150" i="1"/>
  <c r="K149" i="1"/>
  <c r="L148" i="1"/>
  <c r="K148" i="1"/>
  <c r="P148" i="1" s="1"/>
  <c r="K145" i="1"/>
  <c r="P145" i="1" s="1"/>
  <c r="K144" i="1"/>
  <c r="P144" i="1" s="1"/>
  <c r="K143" i="1"/>
  <c r="L143" i="1" s="1"/>
  <c r="K140" i="1"/>
  <c r="L140" i="1" s="1"/>
  <c r="K139" i="1"/>
  <c r="P139" i="1" s="1"/>
  <c r="K138" i="1"/>
  <c r="K137" i="1"/>
  <c r="K136" i="1"/>
  <c r="P136" i="1" s="1"/>
  <c r="K135" i="1"/>
  <c r="P135" i="1" s="1"/>
  <c r="K134" i="1"/>
  <c r="K133" i="1"/>
  <c r="L133" i="1" s="1"/>
  <c r="K132" i="1"/>
  <c r="L132" i="1" s="1"/>
  <c r="K131" i="1"/>
  <c r="P131" i="1" s="1"/>
  <c r="K100" i="1"/>
  <c r="P100" i="1" s="1"/>
  <c r="K97" i="1"/>
  <c r="L97" i="1" s="1"/>
  <c r="K96" i="1"/>
  <c r="P96" i="1" s="1"/>
  <c r="K95" i="1"/>
  <c r="K94" i="1"/>
  <c r="K93" i="1"/>
  <c r="K92" i="1"/>
  <c r="K88" i="1"/>
  <c r="L88" i="1" s="1"/>
  <c r="K87" i="1"/>
  <c r="P87" i="1" s="1"/>
  <c r="K86" i="1"/>
  <c r="K85" i="1"/>
  <c r="K84" i="1"/>
  <c r="K83" i="1"/>
  <c r="K80" i="1"/>
  <c r="K79" i="1"/>
  <c r="K78" i="1"/>
  <c r="K77" i="1"/>
  <c r="K76" i="1"/>
  <c r="L76" i="1" s="1"/>
  <c r="K75" i="1"/>
  <c r="K74" i="1"/>
  <c r="K73" i="1"/>
  <c r="K72" i="1"/>
  <c r="L72" i="1" s="1"/>
  <c r="K71" i="1"/>
  <c r="P71" i="1" s="1"/>
  <c r="K70" i="1"/>
  <c r="K69" i="1"/>
  <c r="K68" i="1"/>
  <c r="L68" i="1" s="1"/>
  <c r="K67" i="1"/>
  <c r="P67" i="1" s="1"/>
  <c r="K66" i="1"/>
  <c r="K65" i="1"/>
  <c r="K64" i="1"/>
  <c r="K63" i="1"/>
  <c r="K62" i="1"/>
  <c r="K61" i="1"/>
  <c r="K60" i="1"/>
  <c r="L60" i="1" s="1"/>
  <c r="K59" i="1"/>
  <c r="K58" i="1"/>
  <c r="K57" i="1"/>
  <c r="K56" i="1"/>
  <c r="L56" i="1" s="1"/>
  <c r="K55" i="1"/>
  <c r="P55" i="1" s="1"/>
  <c r="K54" i="1"/>
  <c r="K53" i="1"/>
  <c r="K52" i="1"/>
  <c r="L52" i="1" s="1"/>
  <c r="L51" i="1"/>
  <c r="K51" i="1"/>
  <c r="P51" i="1" s="1"/>
  <c r="K50" i="1"/>
  <c r="K49" i="1"/>
  <c r="K48" i="1"/>
  <c r="K47" i="1"/>
  <c r="K46" i="1"/>
  <c r="K43" i="1"/>
  <c r="K39" i="1"/>
  <c r="P39" i="1" s="1"/>
  <c r="K38" i="1"/>
  <c r="K36" i="1"/>
  <c r="L36" i="1" s="1"/>
  <c r="K35" i="1"/>
  <c r="P35" i="1" s="1"/>
  <c r="K34" i="1"/>
  <c r="K30" i="1"/>
  <c r="L30" i="1" s="1"/>
  <c r="K29" i="1"/>
  <c r="P29" i="1" s="1"/>
  <c r="K27" i="1"/>
  <c r="L27" i="1" s="1"/>
  <c r="K24" i="1"/>
  <c r="K22" i="1"/>
  <c r="P22" i="1" s="1"/>
  <c r="K19" i="1"/>
  <c r="P19" i="1" s="1"/>
  <c r="A333" i="1"/>
  <c r="A334" i="1"/>
  <c r="A335" i="1"/>
  <c r="G331" i="1"/>
  <c r="G330" i="1"/>
  <c r="G329" i="1"/>
  <c r="G328" i="1"/>
  <c r="G325" i="1"/>
  <c r="O325" i="1" s="1"/>
  <c r="G324" i="1"/>
  <c r="G323" i="1"/>
  <c r="G322" i="1"/>
  <c r="G318" i="1"/>
  <c r="J318" i="1" s="1"/>
  <c r="G317" i="1"/>
  <c r="O317" i="1" s="1"/>
  <c r="G316" i="1"/>
  <c r="G315" i="1"/>
  <c r="G311" i="1"/>
  <c r="J311" i="1" s="1"/>
  <c r="G310" i="1"/>
  <c r="J310" i="1" s="1"/>
  <c r="G309" i="1"/>
  <c r="G308" i="1"/>
  <c r="G307" i="1"/>
  <c r="G306" i="1"/>
  <c r="G305" i="1"/>
  <c r="G304" i="1"/>
  <c r="G303" i="1"/>
  <c r="G300" i="1"/>
  <c r="G299" i="1"/>
  <c r="G298" i="1"/>
  <c r="J298" i="1" s="1"/>
  <c r="M298" i="1" s="1"/>
  <c r="G297" i="1"/>
  <c r="J297" i="1" s="1"/>
  <c r="G296" i="1"/>
  <c r="J296" i="1" s="1"/>
  <c r="G295" i="1"/>
  <c r="G294" i="1"/>
  <c r="G293" i="1"/>
  <c r="J293" i="1" s="1"/>
  <c r="M293" i="1" s="1"/>
  <c r="G292" i="1"/>
  <c r="G289" i="1"/>
  <c r="G288" i="1"/>
  <c r="G285" i="1"/>
  <c r="G284" i="1"/>
  <c r="O284" i="1" s="1"/>
  <c r="G283" i="1"/>
  <c r="G279" i="1"/>
  <c r="J279" i="1" s="1"/>
  <c r="E279" i="1"/>
  <c r="E278" i="1"/>
  <c r="G278" i="1" s="1"/>
  <c r="E275" i="1"/>
  <c r="G271" i="1"/>
  <c r="G270" i="1"/>
  <c r="G269" i="1"/>
  <c r="J269" i="1" s="1"/>
  <c r="G268" i="1"/>
  <c r="G267" i="1"/>
  <c r="G266" i="1"/>
  <c r="G265" i="1"/>
  <c r="G264" i="1"/>
  <c r="O264" i="1" s="1"/>
  <c r="G263" i="1"/>
  <c r="G262" i="1"/>
  <c r="G261" i="1"/>
  <c r="G260" i="1"/>
  <c r="O260" i="1" s="1"/>
  <c r="G259" i="1"/>
  <c r="O259" i="1" s="1"/>
  <c r="G258" i="1"/>
  <c r="G257" i="1"/>
  <c r="O257" i="1" s="1"/>
  <c r="G256" i="1"/>
  <c r="G255" i="1"/>
  <c r="G254" i="1"/>
  <c r="G253" i="1"/>
  <c r="G252" i="1"/>
  <c r="J252" i="1" s="1"/>
  <c r="G251" i="1"/>
  <c r="G250" i="1"/>
  <c r="G247" i="1"/>
  <c r="J247" i="1" s="1"/>
  <c r="G246" i="1"/>
  <c r="G245" i="1"/>
  <c r="G244" i="1"/>
  <c r="J244" i="1" s="1"/>
  <c r="G243" i="1"/>
  <c r="G242" i="1"/>
  <c r="G241" i="1"/>
  <c r="G240" i="1"/>
  <c r="G239" i="1"/>
  <c r="O239" i="1" s="1"/>
  <c r="G238" i="1"/>
  <c r="G237" i="1"/>
  <c r="G236" i="1"/>
  <c r="G235" i="1"/>
  <c r="J235" i="1" s="1"/>
  <c r="G234" i="1"/>
  <c r="O234" i="1" s="1"/>
  <c r="G233" i="1"/>
  <c r="G232" i="1"/>
  <c r="J232" i="1" s="1"/>
  <c r="G231" i="1"/>
  <c r="G230" i="1"/>
  <c r="J230" i="1" s="1"/>
  <c r="G229" i="1"/>
  <c r="G228" i="1"/>
  <c r="G227" i="1"/>
  <c r="G226" i="1"/>
  <c r="G225" i="1"/>
  <c r="G224" i="1"/>
  <c r="G223" i="1"/>
  <c r="G222" i="1"/>
  <c r="G221" i="1"/>
  <c r="G220" i="1"/>
  <c r="G219" i="1"/>
  <c r="O219" i="1" s="1"/>
  <c r="G218" i="1"/>
  <c r="J218" i="1" s="1"/>
  <c r="G217" i="1"/>
  <c r="G216" i="1"/>
  <c r="G215" i="1"/>
  <c r="J215" i="1" s="1"/>
  <c r="M215" i="1" s="1"/>
  <c r="G214" i="1"/>
  <c r="G213" i="1"/>
  <c r="G210" i="1"/>
  <c r="G209" i="1"/>
  <c r="J209" i="1" s="1"/>
  <c r="G208" i="1"/>
  <c r="O208" i="1" s="1"/>
  <c r="G207" i="1"/>
  <c r="G206" i="1"/>
  <c r="G205" i="1"/>
  <c r="O205" i="1" s="1"/>
  <c r="G204" i="1"/>
  <c r="O204" i="1" s="1"/>
  <c r="G203" i="1"/>
  <c r="O203" i="1" s="1"/>
  <c r="G202" i="1"/>
  <c r="G201" i="1"/>
  <c r="J201" i="1" s="1"/>
  <c r="G200" i="1"/>
  <c r="J200" i="1" s="1"/>
  <c r="G199" i="1"/>
  <c r="G198" i="1"/>
  <c r="J198" i="1" s="1"/>
  <c r="M198" i="1" s="1"/>
  <c r="G197" i="1"/>
  <c r="J197" i="1" s="1"/>
  <c r="G196" i="1"/>
  <c r="J196" i="1" s="1"/>
  <c r="G195" i="1"/>
  <c r="G194" i="1"/>
  <c r="G193" i="1"/>
  <c r="G192" i="1"/>
  <c r="O192" i="1" s="1"/>
  <c r="G191" i="1"/>
  <c r="G190" i="1"/>
  <c r="G189" i="1"/>
  <c r="O189" i="1" s="1"/>
  <c r="G188" i="1"/>
  <c r="O188" i="1" s="1"/>
  <c r="G187" i="1"/>
  <c r="J187" i="1" s="1"/>
  <c r="G186" i="1"/>
  <c r="G185" i="1"/>
  <c r="O185" i="1" s="1"/>
  <c r="G184" i="1"/>
  <c r="J184" i="1" s="1"/>
  <c r="G183" i="1"/>
  <c r="G182" i="1"/>
  <c r="G181" i="1"/>
  <c r="J181" i="1" s="1"/>
  <c r="G180" i="1"/>
  <c r="J180" i="1" s="1"/>
  <c r="G179" i="1"/>
  <c r="G178" i="1"/>
  <c r="G177" i="1"/>
  <c r="G176" i="1"/>
  <c r="O176" i="1" s="1"/>
  <c r="G175" i="1"/>
  <c r="G174" i="1"/>
  <c r="G173" i="1"/>
  <c r="O173" i="1" s="1"/>
  <c r="G172" i="1"/>
  <c r="O172" i="1" s="1"/>
  <c r="G171" i="1"/>
  <c r="O171" i="1" s="1"/>
  <c r="G170" i="1"/>
  <c r="G169" i="1"/>
  <c r="J169" i="1" s="1"/>
  <c r="G168" i="1"/>
  <c r="J168" i="1" s="1"/>
  <c r="G167" i="1"/>
  <c r="G166" i="1"/>
  <c r="J166" i="1" s="1"/>
  <c r="M166" i="1" s="1"/>
  <c r="G165" i="1"/>
  <c r="J165" i="1" s="1"/>
  <c r="G164" i="1"/>
  <c r="J164" i="1" s="1"/>
  <c r="G163" i="1"/>
  <c r="G162" i="1"/>
  <c r="G161" i="1"/>
  <c r="G160" i="1"/>
  <c r="O160" i="1" s="1"/>
  <c r="G159" i="1"/>
  <c r="G158" i="1"/>
  <c r="O158" i="1" s="1"/>
  <c r="G155" i="1"/>
  <c r="G154" i="1"/>
  <c r="G153" i="1"/>
  <c r="Q153" i="1" s="1"/>
  <c r="G152" i="1"/>
  <c r="G151" i="1"/>
  <c r="G150" i="1"/>
  <c r="J150" i="1" s="1"/>
  <c r="G149" i="1"/>
  <c r="O149" i="1" s="1"/>
  <c r="G148" i="1"/>
  <c r="O148" i="1" s="1"/>
  <c r="G147" i="1"/>
  <c r="G146" i="1"/>
  <c r="G145" i="1"/>
  <c r="G144" i="1"/>
  <c r="J144" i="1" s="1"/>
  <c r="G143" i="1"/>
  <c r="O143" i="1" s="1"/>
  <c r="G140" i="1"/>
  <c r="O140" i="1" s="1"/>
  <c r="G139" i="1"/>
  <c r="J139" i="1" s="1"/>
  <c r="G138" i="1"/>
  <c r="J138" i="1" s="1"/>
  <c r="G137" i="1"/>
  <c r="J137" i="1" s="1"/>
  <c r="G136" i="1"/>
  <c r="O136" i="1" s="1"/>
  <c r="G135" i="1"/>
  <c r="J135" i="1" s="1"/>
  <c r="G134" i="1"/>
  <c r="J134" i="1" s="1"/>
  <c r="G133" i="1"/>
  <c r="O133" i="1" s="1"/>
  <c r="G132" i="1"/>
  <c r="O132" i="1" s="1"/>
  <c r="G131" i="1"/>
  <c r="G128" i="1"/>
  <c r="G127" i="1"/>
  <c r="G126" i="1"/>
  <c r="Q126" i="1" s="1"/>
  <c r="G125" i="1"/>
  <c r="Q125" i="1" s="1"/>
  <c r="G124" i="1"/>
  <c r="G123" i="1"/>
  <c r="G122" i="1"/>
  <c r="G121" i="1"/>
  <c r="Q121" i="1" s="1"/>
  <c r="G120" i="1"/>
  <c r="G119" i="1"/>
  <c r="G118" i="1"/>
  <c r="G117" i="1"/>
  <c r="G116" i="1"/>
  <c r="G115" i="1"/>
  <c r="G114" i="1"/>
  <c r="Q114" i="1" s="1"/>
  <c r="G113" i="1"/>
  <c r="Q113" i="1" s="1"/>
  <c r="G112" i="1"/>
  <c r="G111" i="1"/>
  <c r="G110" i="1"/>
  <c r="G109" i="1"/>
  <c r="G108" i="1"/>
  <c r="G107" i="1"/>
  <c r="G106" i="1"/>
  <c r="G105" i="1"/>
  <c r="G104" i="1"/>
  <c r="G103" i="1"/>
  <c r="G102" i="1"/>
  <c r="G101" i="1"/>
  <c r="G100" i="1"/>
  <c r="G97" i="1"/>
  <c r="J97" i="1" s="1"/>
  <c r="G96" i="1"/>
  <c r="J96" i="1" s="1"/>
  <c r="G95" i="1"/>
  <c r="J95" i="1" s="1"/>
  <c r="G94" i="1"/>
  <c r="O94" i="1" s="1"/>
  <c r="G93" i="1"/>
  <c r="O93" i="1" s="1"/>
  <c r="G92" i="1"/>
  <c r="O92" i="1" s="1"/>
  <c r="G88" i="1"/>
  <c r="G87" i="1"/>
  <c r="G86" i="1"/>
  <c r="O86" i="1" s="1"/>
  <c r="G85" i="1"/>
  <c r="O85" i="1" s="1"/>
  <c r="G84" i="1"/>
  <c r="O84" i="1" s="1"/>
  <c r="G83" i="1"/>
  <c r="O83" i="1" s="1"/>
  <c r="G80" i="1"/>
  <c r="O80" i="1" s="1"/>
  <c r="G79" i="1"/>
  <c r="O79" i="1" s="1"/>
  <c r="G78" i="1"/>
  <c r="O78" i="1" s="1"/>
  <c r="G77" i="1"/>
  <c r="O77" i="1" s="1"/>
  <c r="G76" i="1"/>
  <c r="J76" i="1" s="1"/>
  <c r="G75" i="1"/>
  <c r="O75" i="1" s="1"/>
  <c r="G74" i="1"/>
  <c r="O74" i="1" s="1"/>
  <c r="G73" i="1"/>
  <c r="J73" i="1" s="1"/>
  <c r="G72" i="1"/>
  <c r="J72" i="1" s="1"/>
  <c r="G71" i="1"/>
  <c r="O71" i="1" s="1"/>
  <c r="G70" i="1"/>
  <c r="J70" i="1" s="1"/>
  <c r="G69" i="1"/>
  <c r="J69" i="1" s="1"/>
  <c r="G68" i="1"/>
  <c r="J68" i="1" s="1"/>
  <c r="G67" i="1"/>
  <c r="O67" i="1" s="1"/>
  <c r="G66" i="1"/>
  <c r="J66" i="1" s="1"/>
  <c r="G65" i="1"/>
  <c r="O65" i="1" s="1"/>
  <c r="G64" i="1"/>
  <c r="O64" i="1" s="1"/>
  <c r="G63" i="1"/>
  <c r="O63" i="1" s="1"/>
  <c r="G62" i="1"/>
  <c r="O62" i="1" s="1"/>
  <c r="G61" i="1"/>
  <c r="O61" i="1" s="1"/>
  <c r="G60" i="1"/>
  <c r="O60" i="1" s="1"/>
  <c r="G59" i="1"/>
  <c r="O59" i="1" s="1"/>
  <c r="G58" i="1"/>
  <c r="O58" i="1" s="1"/>
  <c r="G57" i="1"/>
  <c r="J57" i="1" s="1"/>
  <c r="G56" i="1"/>
  <c r="J56" i="1" s="1"/>
  <c r="G55" i="1"/>
  <c r="O55" i="1" s="1"/>
  <c r="G54" i="1"/>
  <c r="J54" i="1" s="1"/>
  <c r="G53" i="1"/>
  <c r="J53" i="1" s="1"/>
  <c r="G52" i="1"/>
  <c r="J52" i="1" s="1"/>
  <c r="G51" i="1"/>
  <c r="O51" i="1" s="1"/>
  <c r="G50" i="1"/>
  <c r="J50" i="1" s="1"/>
  <c r="G49" i="1"/>
  <c r="O49" i="1" s="1"/>
  <c r="G48" i="1"/>
  <c r="O48" i="1" s="1"/>
  <c r="G47" i="1"/>
  <c r="O47" i="1" s="1"/>
  <c r="G46" i="1"/>
  <c r="O46" i="1" s="1"/>
  <c r="G43" i="1"/>
  <c r="O43" i="1" s="1"/>
  <c r="G41" i="1"/>
  <c r="G40" i="1"/>
  <c r="G39" i="1"/>
  <c r="O39" i="1" s="1"/>
  <c r="G38" i="1"/>
  <c r="O38" i="1" s="1"/>
  <c r="G36" i="1"/>
  <c r="O36" i="1" s="1"/>
  <c r="G35" i="1"/>
  <c r="O35" i="1" s="1"/>
  <c r="G34" i="1"/>
  <c r="J34" i="1" s="1"/>
  <c r="P32" i="1"/>
  <c r="Q32" i="1" s="1"/>
  <c r="L32" i="1"/>
  <c r="G32" i="1"/>
  <c r="J32" i="1" s="1"/>
  <c r="M32" i="1" s="1"/>
  <c r="G30" i="1"/>
  <c r="J30" i="1" s="1"/>
  <c r="M30" i="1" s="1"/>
  <c r="G29" i="1"/>
  <c r="J29" i="1" s="1"/>
  <c r="M29" i="1" s="1"/>
  <c r="G27" i="1"/>
  <c r="J27" i="1" s="1"/>
  <c r="G26" i="1"/>
  <c r="G25" i="1"/>
  <c r="G24" i="1"/>
  <c r="J24" i="1" s="1"/>
  <c r="G23" i="1"/>
  <c r="G22" i="1"/>
  <c r="O22" i="1" s="1"/>
  <c r="G21" i="1"/>
  <c r="G20" i="1"/>
  <c r="L19" i="1"/>
  <c r="G19" i="1"/>
  <c r="J19" i="1" s="1"/>
  <c r="P14" i="1"/>
  <c r="L14" i="1"/>
  <c r="J14" i="1"/>
  <c r="M14" i="1" s="1"/>
  <c r="G14" i="1"/>
  <c r="O14" i="1" s="1"/>
  <c r="P13" i="1"/>
  <c r="O13" i="1"/>
  <c r="L13" i="1"/>
  <c r="G13" i="1"/>
  <c r="J13" i="1" s="1"/>
  <c r="M13" i="1" s="1"/>
  <c r="P12" i="1"/>
  <c r="L12" i="1"/>
  <c r="J12" i="1"/>
  <c r="M12" i="1" s="1"/>
  <c r="G12" i="1"/>
  <c r="O12" i="1" s="1"/>
  <c r="P11" i="1"/>
  <c r="L11" i="1"/>
  <c r="G11" i="1"/>
  <c r="J11" i="1" s="1"/>
  <c r="M11" i="1" s="1"/>
  <c r="P10" i="1"/>
  <c r="L10" i="1"/>
  <c r="G10" i="1"/>
  <c r="J10" i="1" s="1"/>
  <c r="M10" i="1" s="1"/>
  <c r="P9" i="1"/>
  <c r="L9" i="1"/>
  <c r="G9" i="1"/>
  <c r="O9" i="1" s="1"/>
  <c r="P8" i="1"/>
  <c r="Q15" i="1" s="1"/>
  <c r="C5" i="4" s="1"/>
  <c r="L8" i="1"/>
  <c r="G8" i="1"/>
  <c r="O8" i="1" s="1"/>
  <c r="A8" i="1"/>
  <c r="A9" i="1" s="1"/>
  <c r="A22" i="1" l="1"/>
  <c r="J21" i="1"/>
  <c r="M21" i="1" s="1"/>
  <c r="O21" i="1"/>
  <c r="O25" i="1"/>
  <c r="J25" i="1"/>
  <c r="M25" i="1" s="1"/>
  <c r="Q25" i="1"/>
  <c r="O23" i="1"/>
  <c r="J23" i="1"/>
  <c r="M23" i="1" s="1"/>
  <c r="O41" i="1"/>
  <c r="J41" i="1"/>
  <c r="M41" i="1" s="1"/>
  <c r="Q41" i="1"/>
  <c r="O103" i="1"/>
  <c r="J103" i="1"/>
  <c r="M103" i="1" s="1"/>
  <c r="O107" i="1"/>
  <c r="J107" i="1"/>
  <c r="M107" i="1" s="1"/>
  <c r="O111" i="1"/>
  <c r="J111" i="1"/>
  <c r="M111" i="1" s="1"/>
  <c r="O115" i="1"/>
  <c r="J115" i="1"/>
  <c r="M115" i="1" s="1"/>
  <c r="J119" i="1"/>
  <c r="M119" i="1" s="1"/>
  <c r="O119" i="1"/>
  <c r="O123" i="1"/>
  <c r="J123" i="1"/>
  <c r="M123" i="1" s="1"/>
  <c r="J127" i="1"/>
  <c r="M127" i="1" s="1"/>
  <c r="O127" i="1"/>
  <c r="J147" i="1"/>
  <c r="M147" i="1" s="1"/>
  <c r="O147" i="1"/>
  <c r="J151" i="1"/>
  <c r="M151" i="1" s="1"/>
  <c r="O151" i="1"/>
  <c r="J155" i="1"/>
  <c r="M155" i="1" s="1"/>
  <c r="O155" i="1"/>
  <c r="J8" i="1"/>
  <c r="M8" i="1" s="1"/>
  <c r="J9" i="1"/>
  <c r="M9" i="1" s="1"/>
  <c r="J20" i="1"/>
  <c r="M20" i="1" s="1"/>
  <c r="O20" i="1"/>
  <c r="Q20" i="1"/>
  <c r="O104" i="1"/>
  <c r="J104" i="1"/>
  <c r="M104" i="1" s="1"/>
  <c r="O108" i="1"/>
  <c r="J108" i="1"/>
  <c r="M108" i="1" s="1"/>
  <c r="J112" i="1"/>
  <c r="M112" i="1" s="1"/>
  <c r="O112" i="1"/>
  <c r="O116" i="1"/>
  <c r="J116" i="1"/>
  <c r="M116" i="1" s="1"/>
  <c r="J120" i="1"/>
  <c r="M120" i="1" s="1"/>
  <c r="O120" i="1"/>
  <c r="J124" i="1"/>
  <c r="M124" i="1" s="1"/>
  <c r="O124" i="1"/>
  <c r="O128" i="1"/>
  <c r="J128" i="1"/>
  <c r="M128" i="1" s="1"/>
  <c r="O27" i="1"/>
  <c r="J36" i="1"/>
  <c r="M36" i="1" s="1"/>
  <c r="J39" i="1"/>
  <c r="M39" i="1" s="1"/>
  <c r="J60" i="1"/>
  <c r="O70" i="1"/>
  <c r="J75" i="1"/>
  <c r="M75" i="1" s="1"/>
  <c r="O96" i="1"/>
  <c r="Q131" i="1"/>
  <c r="O139" i="1"/>
  <c r="J143" i="1"/>
  <c r="M143" i="1" s="1"/>
  <c r="O165" i="1"/>
  <c r="O168" i="1"/>
  <c r="J185" i="1"/>
  <c r="J188" i="1"/>
  <c r="M188" i="1" s="1"/>
  <c r="O201" i="1"/>
  <c r="O232" i="1"/>
  <c r="O235" i="1"/>
  <c r="Q104" i="1"/>
  <c r="Q107" i="1"/>
  <c r="Q108" i="1"/>
  <c r="Q23" i="1"/>
  <c r="O24" i="1"/>
  <c r="J35" i="1"/>
  <c r="M35" i="1" s="1"/>
  <c r="J55" i="1"/>
  <c r="M55" i="1" s="1"/>
  <c r="O56" i="1"/>
  <c r="J59" i="1"/>
  <c r="J65" i="1"/>
  <c r="M65" i="1" s="1"/>
  <c r="J71" i="1"/>
  <c r="O72" i="1"/>
  <c r="O76" i="1"/>
  <c r="J84" i="1"/>
  <c r="M84" i="1" s="1"/>
  <c r="J86" i="1"/>
  <c r="O134" i="1"/>
  <c r="O137" i="1"/>
  <c r="J140" i="1"/>
  <c r="M140" i="1" s="1"/>
  <c r="O150" i="1"/>
  <c r="J160" i="1"/>
  <c r="J192" i="1"/>
  <c r="M192" i="1" s="1"/>
  <c r="O197" i="1"/>
  <c r="J205" i="1"/>
  <c r="Q208" i="1"/>
  <c r="O230" i="1"/>
  <c r="O252" i="1"/>
  <c r="J259" i="1"/>
  <c r="O293" i="1"/>
  <c r="O318" i="1"/>
  <c r="Q128" i="1"/>
  <c r="Q111" i="1"/>
  <c r="Q147" i="1"/>
  <c r="Q127" i="1"/>
  <c r="Q151" i="1"/>
  <c r="Q119" i="1"/>
  <c r="J101" i="1"/>
  <c r="M101" i="1" s="1"/>
  <c r="O101" i="1"/>
  <c r="Q101" i="1"/>
  <c r="J105" i="1"/>
  <c r="M105" i="1" s="1"/>
  <c r="Q105" i="1"/>
  <c r="O105" i="1"/>
  <c r="J109" i="1"/>
  <c r="M109" i="1" s="1"/>
  <c r="O109" i="1"/>
  <c r="O113" i="1"/>
  <c r="J113" i="1"/>
  <c r="M113" i="1" s="1"/>
  <c r="O117" i="1"/>
  <c r="J117" i="1"/>
  <c r="M117" i="1" s="1"/>
  <c r="Q117" i="1"/>
  <c r="O121" i="1"/>
  <c r="J121" i="1"/>
  <c r="M121" i="1" s="1"/>
  <c r="O125" i="1"/>
  <c r="J125" i="1"/>
  <c r="M125" i="1" s="1"/>
  <c r="J153" i="1"/>
  <c r="M153" i="1" s="1"/>
  <c r="O153" i="1"/>
  <c r="O271" i="1"/>
  <c r="J271" i="1"/>
  <c r="M271" i="1" s="1"/>
  <c r="J26" i="1"/>
  <c r="M26" i="1" s="1"/>
  <c r="O26" i="1"/>
  <c r="J40" i="1"/>
  <c r="M40" i="1" s="1"/>
  <c r="O40" i="1"/>
  <c r="Q40" i="1"/>
  <c r="O102" i="1"/>
  <c r="J102" i="1"/>
  <c r="M102" i="1" s="1"/>
  <c r="J106" i="1"/>
  <c r="M106" i="1" s="1"/>
  <c r="O106" i="1"/>
  <c r="O110" i="1"/>
  <c r="J110" i="1"/>
  <c r="M110" i="1" s="1"/>
  <c r="J114" i="1"/>
  <c r="M114" i="1" s="1"/>
  <c r="O114" i="1"/>
  <c r="J118" i="1"/>
  <c r="M118" i="1" s="1"/>
  <c r="O118" i="1"/>
  <c r="O122" i="1"/>
  <c r="J122" i="1"/>
  <c r="M122" i="1" s="1"/>
  <c r="J126" i="1"/>
  <c r="M126" i="1" s="1"/>
  <c r="O126" i="1"/>
  <c r="O146" i="1"/>
  <c r="J146" i="1"/>
  <c r="M146" i="1" s="1"/>
  <c r="Q146" i="1"/>
  <c r="J154" i="1"/>
  <c r="M154" i="1" s="1"/>
  <c r="O154" i="1"/>
  <c r="O29" i="1"/>
  <c r="J48" i="1"/>
  <c r="M48" i="1" s="1"/>
  <c r="O50" i="1"/>
  <c r="J80" i="1"/>
  <c r="J93" i="1"/>
  <c r="M93" i="1" s="1"/>
  <c r="O95" i="1"/>
  <c r="O97" i="1"/>
  <c r="J133" i="1"/>
  <c r="O169" i="1"/>
  <c r="J173" i="1"/>
  <c r="M173" i="1" s="1"/>
  <c r="Q176" i="1"/>
  <c r="O200" i="1"/>
  <c r="J203" i="1"/>
  <c r="M203" i="1" s="1"/>
  <c r="O218" i="1"/>
  <c r="J257" i="1"/>
  <c r="O297" i="1"/>
  <c r="Q154" i="1"/>
  <c r="Q120" i="1"/>
  <c r="Q118" i="1"/>
  <c r="Q116" i="1"/>
  <c r="Q122" i="1"/>
  <c r="Q21" i="1"/>
  <c r="Q26" i="1"/>
  <c r="Q110" i="1"/>
  <c r="Q115" i="1"/>
  <c r="J46" i="1"/>
  <c r="M46" i="1" s="1"/>
  <c r="O53" i="1"/>
  <c r="J58" i="1"/>
  <c r="J61" i="1"/>
  <c r="M61" i="1" s="1"/>
  <c r="J64" i="1"/>
  <c r="M64" i="1" s="1"/>
  <c r="J78" i="1"/>
  <c r="J85" i="1"/>
  <c r="M85" i="1" s="1"/>
  <c r="Q177" i="1"/>
  <c r="O180" i="1"/>
  <c r="Q196" i="1"/>
  <c r="O198" i="1"/>
  <c r="J219" i="1"/>
  <c r="M219" i="1" s="1"/>
  <c r="J264" i="1"/>
  <c r="M264" i="1" s="1"/>
  <c r="O269" i="1"/>
  <c r="O310" i="1"/>
  <c r="Q109" i="1"/>
  <c r="Q112" i="1"/>
  <c r="Q102" i="1"/>
  <c r="Q103" i="1"/>
  <c r="Q271" i="1"/>
  <c r="Q123" i="1"/>
  <c r="Q124" i="1"/>
  <c r="Q155" i="1"/>
  <c r="Q106" i="1"/>
  <c r="O270" i="1"/>
  <c r="J270" i="1"/>
  <c r="M270" i="1" s="1"/>
  <c r="Q270" i="1"/>
  <c r="M164" i="1"/>
  <c r="M230" i="1"/>
  <c r="L165" i="1"/>
  <c r="L136" i="1"/>
  <c r="M56" i="1"/>
  <c r="M68" i="1"/>
  <c r="M72" i="1"/>
  <c r="M97" i="1"/>
  <c r="M169" i="1"/>
  <c r="M181" i="1"/>
  <c r="M133" i="1"/>
  <c r="L250" i="1"/>
  <c r="M95" i="1"/>
  <c r="M50" i="1"/>
  <c r="M24" i="1"/>
  <c r="M144" i="1"/>
  <c r="L22" i="1"/>
  <c r="L67" i="1"/>
  <c r="L96" i="1"/>
  <c r="L161" i="1"/>
  <c r="L197" i="1"/>
  <c r="L330" i="1"/>
  <c r="M19" i="1"/>
  <c r="M139" i="1"/>
  <c r="M71" i="1"/>
  <c r="L100" i="1"/>
  <c r="L135" i="1"/>
  <c r="L181" i="1"/>
  <c r="M259" i="1"/>
  <c r="L292" i="1"/>
  <c r="L294" i="1"/>
  <c r="L310" i="1"/>
  <c r="L209" i="1"/>
  <c r="M247" i="1"/>
  <c r="M96" i="1"/>
  <c r="M311" i="1"/>
  <c r="L308" i="1"/>
  <c r="O288" i="1"/>
  <c r="J288" i="1"/>
  <c r="M288" i="1" s="1"/>
  <c r="J294" i="1"/>
  <c r="M294" i="1" s="1"/>
  <c r="O294" i="1"/>
  <c r="O304" i="1"/>
  <c r="J304" i="1"/>
  <c r="M304" i="1" s="1"/>
  <c r="J315" i="1"/>
  <c r="M315" i="1" s="1"/>
  <c r="O315" i="1"/>
  <c r="O328" i="1"/>
  <c r="J328" i="1"/>
  <c r="M328" i="1" s="1"/>
  <c r="O30" i="1"/>
  <c r="P63" i="1"/>
  <c r="Q63" i="1" s="1"/>
  <c r="P150" i="1"/>
  <c r="Q150" i="1" s="1"/>
  <c r="L150" i="1"/>
  <c r="J162" i="1"/>
  <c r="M162" i="1" s="1"/>
  <c r="O162" i="1"/>
  <c r="O170" i="1"/>
  <c r="J170" i="1"/>
  <c r="M170" i="1" s="1"/>
  <c r="J178" i="1"/>
  <c r="M178" i="1" s="1"/>
  <c r="O178" i="1"/>
  <c r="J186" i="1"/>
  <c r="M186" i="1" s="1"/>
  <c r="O186" i="1"/>
  <c r="O206" i="1"/>
  <c r="J206" i="1"/>
  <c r="M206" i="1" s="1"/>
  <c r="J216" i="1"/>
  <c r="M216" i="1" s="1"/>
  <c r="O216" i="1"/>
  <c r="O224" i="1"/>
  <c r="J224" i="1"/>
  <c r="M224" i="1" s="1"/>
  <c r="O240" i="1"/>
  <c r="J240" i="1"/>
  <c r="M240" i="1" s="1"/>
  <c r="O250" i="1"/>
  <c r="J250" i="1"/>
  <c r="M250" i="1" s="1"/>
  <c r="J258" i="1"/>
  <c r="M258" i="1" s="1"/>
  <c r="O258" i="1"/>
  <c r="O283" i="1"/>
  <c r="J283" i="1"/>
  <c r="M283" i="1" s="1"/>
  <c r="J295" i="1"/>
  <c r="M295" i="1" s="1"/>
  <c r="O295" i="1"/>
  <c r="O305" i="1"/>
  <c r="J305" i="1"/>
  <c r="M305" i="1" s="1"/>
  <c r="O323" i="1"/>
  <c r="J323" i="1"/>
  <c r="M323" i="1" s="1"/>
  <c r="J38" i="1"/>
  <c r="M38" i="1" s="1"/>
  <c r="L48" i="1"/>
  <c r="L63" i="1"/>
  <c r="M69" i="1"/>
  <c r="O73" i="1"/>
  <c r="M78" i="1"/>
  <c r="L84" i="1"/>
  <c r="L93" i="1"/>
  <c r="L206" i="1"/>
  <c r="J88" i="1"/>
  <c r="M88" i="1" s="1"/>
  <c r="O88" i="1"/>
  <c r="J131" i="1"/>
  <c r="M131" i="1" s="1"/>
  <c r="O131" i="1"/>
  <c r="O145" i="1"/>
  <c r="J145" i="1"/>
  <c r="O159" i="1"/>
  <c r="J159" i="1"/>
  <c r="M159" i="1" s="1"/>
  <c r="J163" i="1"/>
  <c r="O163" i="1"/>
  <c r="J167" i="1"/>
  <c r="M167" i="1" s="1"/>
  <c r="O167" i="1"/>
  <c r="O175" i="1"/>
  <c r="J175" i="1"/>
  <c r="J179" i="1"/>
  <c r="M179" i="1" s="1"/>
  <c r="O179" i="1"/>
  <c r="J183" i="1"/>
  <c r="M183" i="1" s="1"/>
  <c r="O183" i="1"/>
  <c r="O191" i="1"/>
  <c r="J191" i="1"/>
  <c r="M191" i="1" s="1"/>
  <c r="J195" i="1"/>
  <c r="M195" i="1" s="1"/>
  <c r="O195" i="1"/>
  <c r="J199" i="1"/>
  <c r="M199" i="1" s="1"/>
  <c r="O199" i="1"/>
  <c r="O207" i="1"/>
  <c r="J207" i="1"/>
  <c r="M207" i="1" s="1"/>
  <c r="J213" i="1"/>
  <c r="M213" i="1" s="1"/>
  <c r="O213" i="1"/>
  <c r="O217" i="1"/>
  <c r="J217" i="1"/>
  <c r="M217" i="1" s="1"/>
  <c r="O221" i="1"/>
  <c r="J221" i="1"/>
  <c r="M221" i="1" s="1"/>
  <c r="J225" i="1"/>
  <c r="M225" i="1" s="1"/>
  <c r="O225" i="1"/>
  <c r="J229" i="1"/>
  <c r="M229" i="1" s="1"/>
  <c r="O229" i="1"/>
  <c r="O233" i="1"/>
  <c r="J233" i="1"/>
  <c r="O237" i="1"/>
  <c r="J237" i="1"/>
  <c r="M237" i="1" s="1"/>
  <c r="J241" i="1"/>
  <c r="M241" i="1" s="1"/>
  <c r="O241" i="1"/>
  <c r="J245" i="1"/>
  <c r="M245" i="1" s="1"/>
  <c r="O245" i="1"/>
  <c r="J251" i="1"/>
  <c r="M251" i="1" s="1"/>
  <c r="O251" i="1"/>
  <c r="J255" i="1"/>
  <c r="M255" i="1" s="1"/>
  <c r="O255" i="1"/>
  <c r="O263" i="1"/>
  <c r="J263" i="1"/>
  <c r="M263" i="1" s="1"/>
  <c r="J267" i="1"/>
  <c r="M267" i="1" s="1"/>
  <c r="O267" i="1"/>
  <c r="O278" i="1"/>
  <c r="J278" i="1"/>
  <c r="M278" i="1" s="1"/>
  <c r="O34" i="1"/>
  <c r="J43" i="1"/>
  <c r="M43" i="1" s="1"/>
  <c r="P47" i="1"/>
  <c r="Q47" i="1" s="1"/>
  <c r="J49" i="1"/>
  <c r="M52" i="1"/>
  <c r="O54" i="1"/>
  <c r="J62" i="1"/>
  <c r="M62" i="1" s="1"/>
  <c r="M66" i="1"/>
  <c r="O69" i="1"/>
  <c r="J74" i="1"/>
  <c r="M74" i="1" s="1"/>
  <c r="J77" i="1"/>
  <c r="M77" i="1" s="1"/>
  <c r="P79" i="1"/>
  <c r="Q79" i="1" s="1"/>
  <c r="J83" i="1"/>
  <c r="M83" i="1" s="1"/>
  <c r="Q87" i="1"/>
  <c r="P92" i="1"/>
  <c r="Q92" i="1" s="1"/>
  <c r="J94" i="1"/>
  <c r="M94" i="1" s="1"/>
  <c r="L131" i="1"/>
  <c r="O138" i="1"/>
  <c r="J149" i="1"/>
  <c r="M149" i="1" s="1"/>
  <c r="O166" i="1"/>
  <c r="J171" i="1"/>
  <c r="M171" i="1" s="1"/>
  <c r="O187" i="1"/>
  <c r="O279" i="1"/>
  <c r="J308" i="1"/>
  <c r="M308" i="1" s="1"/>
  <c r="O308" i="1"/>
  <c r="O322" i="1"/>
  <c r="J322" i="1"/>
  <c r="M322" i="1" s="1"/>
  <c r="O298" i="1"/>
  <c r="P318" i="1"/>
  <c r="Q318" i="1" s="1"/>
  <c r="M318" i="1"/>
  <c r="L318" i="1"/>
  <c r="J87" i="1"/>
  <c r="O87" i="1"/>
  <c r="O100" i="1"/>
  <c r="J100" i="1"/>
  <c r="M100" i="1" s="1"/>
  <c r="O152" i="1"/>
  <c r="J152" i="1"/>
  <c r="M152" i="1" s="1"/>
  <c r="O174" i="1"/>
  <c r="J174" i="1"/>
  <c r="M174" i="1" s="1"/>
  <c r="J182" i="1"/>
  <c r="M182" i="1" s="1"/>
  <c r="O182" i="1"/>
  <c r="O190" i="1"/>
  <c r="J190" i="1"/>
  <c r="M190" i="1" s="1"/>
  <c r="J194" i="1"/>
  <c r="M194" i="1" s="1"/>
  <c r="O194" i="1"/>
  <c r="O202" i="1"/>
  <c r="J202" i="1"/>
  <c r="M202" i="1" s="1"/>
  <c r="J210" i="1"/>
  <c r="M210" i="1" s="1"/>
  <c r="O210" i="1"/>
  <c r="O220" i="1"/>
  <c r="J220" i="1"/>
  <c r="J228" i="1"/>
  <c r="M228" i="1" s="1"/>
  <c r="O228" i="1"/>
  <c r="O236" i="1"/>
  <c r="J236" i="1"/>
  <c r="M236" i="1" s="1"/>
  <c r="J254" i="1"/>
  <c r="M254" i="1" s="1"/>
  <c r="O254" i="1"/>
  <c r="O262" i="1"/>
  <c r="J262" i="1"/>
  <c r="M262" i="1" s="1"/>
  <c r="O266" i="1"/>
  <c r="J266" i="1"/>
  <c r="M266" i="1" s="1"/>
  <c r="J289" i="1"/>
  <c r="M289" i="1" s="1"/>
  <c r="O289" i="1"/>
  <c r="O299" i="1"/>
  <c r="J299" i="1"/>
  <c r="M299" i="1" s="1"/>
  <c r="J309" i="1"/>
  <c r="M309" i="1" s="1"/>
  <c r="O309" i="1"/>
  <c r="O316" i="1"/>
  <c r="J316" i="1"/>
  <c r="M316" i="1" s="1"/>
  <c r="J329" i="1"/>
  <c r="M329" i="1" s="1"/>
  <c r="O329" i="1"/>
  <c r="P75" i="1"/>
  <c r="Q75" i="1" s="1"/>
  <c r="L75" i="1"/>
  <c r="L80" i="1"/>
  <c r="M80" i="1"/>
  <c r="M86" i="1"/>
  <c r="O144" i="1"/>
  <c r="L159" i="1"/>
  <c r="P189" i="1"/>
  <c r="Q189" i="1" s="1"/>
  <c r="L189" i="1"/>
  <c r="A10" i="1"/>
  <c r="A11" i="1" s="1"/>
  <c r="O11" i="1"/>
  <c r="M150" i="1"/>
  <c r="L43" i="1"/>
  <c r="L47" i="1"/>
  <c r="M49" i="1"/>
  <c r="M53" i="1"/>
  <c r="O57" i="1"/>
  <c r="P59" i="1"/>
  <c r="Q59" i="1" s="1"/>
  <c r="M59" i="1"/>
  <c r="L59" i="1"/>
  <c r="L64" i="1"/>
  <c r="O66" i="1"/>
  <c r="L79" i="1"/>
  <c r="P83" i="1"/>
  <c r="Q83" i="1" s="1"/>
  <c r="L83" i="1"/>
  <c r="P85" i="1"/>
  <c r="Q85" i="1" s="1"/>
  <c r="L85" i="1"/>
  <c r="L87" i="1"/>
  <c r="L92" i="1"/>
  <c r="P132" i="1"/>
  <c r="Q132" i="1" s="1"/>
  <c r="M134" i="1"/>
  <c r="O135" i="1"/>
  <c r="M137" i="1"/>
  <c r="J148" i="1"/>
  <c r="M148" i="1" s="1"/>
  <c r="J158" i="1"/>
  <c r="M158" i="1" s="1"/>
  <c r="L174" i="1"/>
  <c r="L191" i="1"/>
  <c r="O244" i="1"/>
  <c r="P262" i="1"/>
  <c r="Q262" i="1" s="1"/>
  <c r="O19" i="1"/>
  <c r="O32" i="1"/>
  <c r="J214" i="1"/>
  <c r="M214" i="1" s="1"/>
  <c r="O214" i="1"/>
  <c r="O222" i="1"/>
  <c r="J222" i="1"/>
  <c r="M222" i="1" s="1"/>
  <c r="O226" i="1"/>
  <c r="J226" i="1"/>
  <c r="M226" i="1" s="1"/>
  <c r="O238" i="1"/>
  <c r="J238" i="1"/>
  <c r="M238" i="1" s="1"/>
  <c r="O242" i="1"/>
  <c r="J242" i="1"/>
  <c r="M242" i="1" s="1"/>
  <c r="J246" i="1"/>
  <c r="M246" i="1" s="1"/>
  <c r="O246" i="1"/>
  <c r="J256" i="1"/>
  <c r="M256" i="1" s="1"/>
  <c r="O256" i="1"/>
  <c r="J268" i="1"/>
  <c r="O268" i="1"/>
  <c r="J292" i="1"/>
  <c r="M292" i="1" s="1"/>
  <c r="O292" i="1"/>
  <c r="O300" i="1"/>
  <c r="J300" i="1"/>
  <c r="M300" i="1" s="1"/>
  <c r="J306" i="1"/>
  <c r="O306" i="1"/>
  <c r="O324" i="1"/>
  <c r="J324" i="1"/>
  <c r="M324" i="1" s="1"/>
  <c r="O330" i="1"/>
  <c r="J330" i="1"/>
  <c r="M330" i="1" s="1"/>
  <c r="J22" i="1"/>
  <c r="M22" i="1" s="1"/>
  <c r="Q29" i="1"/>
  <c r="Q35" i="1"/>
  <c r="Q39" i="1"/>
  <c r="J51" i="1"/>
  <c r="M51" i="1" s="1"/>
  <c r="O52" i="1"/>
  <c r="Q55" i="1"/>
  <c r="M58" i="1"/>
  <c r="J67" i="1"/>
  <c r="M67" i="1" s="1"/>
  <c r="O68" i="1"/>
  <c r="Q71" i="1"/>
  <c r="J136" i="1"/>
  <c r="M136" i="1" s="1"/>
  <c r="Q139" i="1"/>
  <c r="Q144" i="1"/>
  <c r="Q145" i="1"/>
  <c r="L152" i="1"/>
  <c r="M160" i="1"/>
  <c r="O164" i="1"/>
  <c r="P173" i="1"/>
  <c r="Q173" i="1" s="1"/>
  <c r="L173" i="1"/>
  <c r="M175" i="1"/>
  <c r="L175" i="1"/>
  <c r="L177" i="1"/>
  <c r="L179" i="1"/>
  <c r="L190" i="1"/>
  <c r="Q192" i="1"/>
  <c r="O196" i="1"/>
  <c r="P205" i="1"/>
  <c r="Q205" i="1" s="1"/>
  <c r="L205" i="1"/>
  <c r="P207" i="1"/>
  <c r="Q207" i="1" s="1"/>
  <c r="L207" i="1"/>
  <c r="P222" i="1"/>
  <c r="Q222" i="1" s="1"/>
  <c r="J234" i="1"/>
  <c r="M234" i="1" s="1"/>
  <c r="J239" i="1"/>
  <c r="M239" i="1" s="1"/>
  <c r="L243" i="1"/>
  <c r="O247" i="1"/>
  <c r="L251" i="1"/>
  <c r="J260" i="1"/>
  <c r="M260" i="1" s="1"/>
  <c r="L262" i="1"/>
  <c r="P278" i="1"/>
  <c r="Q278" i="1" s="1"/>
  <c r="L278" i="1"/>
  <c r="J284" i="1"/>
  <c r="M284" i="1" s="1"/>
  <c r="O296" i="1"/>
  <c r="P304" i="1"/>
  <c r="Q304" i="1" s="1"/>
  <c r="L304" i="1"/>
  <c r="Q309" i="1"/>
  <c r="J317" i="1"/>
  <c r="M317" i="1" s="1"/>
  <c r="J325" i="1"/>
  <c r="M325" i="1" s="1"/>
  <c r="L331" i="1"/>
  <c r="O10" i="1"/>
  <c r="Q19" i="1"/>
  <c r="J161" i="1"/>
  <c r="M161" i="1" s="1"/>
  <c r="O161" i="1"/>
  <c r="J177" i="1"/>
  <c r="M177" i="1" s="1"/>
  <c r="O177" i="1"/>
  <c r="J193" i="1"/>
  <c r="M193" i="1" s="1"/>
  <c r="O193" i="1"/>
  <c r="O223" i="1"/>
  <c r="J223" i="1"/>
  <c r="M223" i="1" s="1"/>
  <c r="J227" i="1"/>
  <c r="M227" i="1" s="1"/>
  <c r="O227" i="1"/>
  <c r="J231" i="1"/>
  <c r="M231" i="1" s="1"/>
  <c r="O231" i="1"/>
  <c r="J243" i="1"/>
  <c r="M243" i="1" s="1"/>
  <c r="O243" i="1"/>
  <c r="J253" i="1"/>
  <c r="M253" i="1" s="1"/>
  <c r="O253" i="1"/>
  <c r="O261" i="1"/>
  <c r="J261" i="1"/>
  <c r="J265" i="1"/>
  <c r="M265" i="1" s="1"/>
  <c r="O265" i="1"/>
  <c r="O285" i="1"/>
  <c r="J285" i="1"/>
  <c r="M285" i="1" s="1"/>
  <c r="J307" i="1"/>
  <c r="M307" i="1" s="1"/>
  <c r="O307" i="1"/>
  <c r="J331" i="1"/>
  <c r="M331" i="1" s="1"/>
  <c r="O331" i="1"/>
  <c r="Q22" i="1"/>
  <c r="M27" i="1"/>
  <c r="L29" i="1"/>
  <c r="M34" i="1"/>
  <c r="L35" i="1"/>
  <c r="L38" i="1"/>
  <c r="J47" i="1"/>
  <c r="M47" i="1" s="1"/>
  <c r="Q51" i="1"/>
  <c r="M54" i="1"/>
  <c r="L55" i="1"/>
  <c r="M57" i="1"/>
  <c r="M60" i="1"/>
  <c r="J63" i="1"/>
  <c r="M63" i="1" s="1"/>
  <c r="Q67" i="1"/>
  <c r="M70" i="1"/>
  <c r="L71" i="1"/>
  <c r="M73" i="1"/>
  <c r="M76" i="1"/>
  <c r="J79" i="1"/>
  <c r="M79" i="1" s="1"/>
  <c r="J92" i="1"/>
  <c r="M92" i="1" s="1"/>
  <c r="Q96" i="1"/>
  <c r="Q100" i="1"/>
  <c r="J132" i="1"/>
  <c r="M132" i="1" s="1"/>
  <c r="Q135" i="1"/>
  <c r="Q136" i="1"/>
  <c r="M138" i="1"/>
  <c r="L139" i="1"/>
  <c r="L144" i="1"/>
  <c r="Q161" i="1"/>
  <c r="M163" i="1"/>
  <c r="J172" i="1"/>
  <c r="M172" i="1" s="1"/>
  <c r="J176" i="1"/>
  <c r="M176" i="1" s="1"/>
  <c r="M180" i="1"/>
  <c r="O181" i="1"/>
  <c r="O184" i="1"/>
  <c r="J189" i="1"/>
  <c r="M189" i="1" s="1"/>
  <c r="Q193" i="1"/>
  <c r="J204" i="1"/>
  <c r="M204" i="1" s="1"/>
  <c r="J208" i="1"/>
  <c r="M208" i="1" s="1"/>
  <c r="O209" i="1"/>
  <c r="O215" i="1"/>
  <c r="L222" i="1"/>
  <c r="P234" i="1"/>
  <c r="Q234" i="1" s="1"/>
  <c r="L234" i="1"/>
  <c r="L239" i="1"/>
  <c r="M268" i="1"/>
  <c r="P284" i="1"/>
  <c r="Q284" i="1" s="1"/>
  <c r="L284" i="1"/>
  <c r="P300" i="1"/>
  <c r="Q300" i="1" s="1"/>
  <c r="L300" i="1"/>
  <c r="L307" i="1"/>
  <c r="O311" i="1"/>
  <c r="L325" i="1"/>
  <c r="Q169" i="1"/>
  <c r="Q185" i="1"/>
  <c r="M187" i="1"/>
  <c r="Q188" i="1"/>
  <c r="Q201" i="1"/>
  <c r="Q204" i="1"/>
  <c r="P238" i="1"/>
  <c r="Q238" i="1" s="1"/>
  <c r="P317" i="1"/>
  <c r="Q317" i="1" s="1"/>
  <c r="L317" i="1"/>
  <c r="P324" i="1"/>
  <c r="Q324" i="1" s="1"/>
  <c r="Q148" i="1"/>
  <c r="Q165" i="1"/>
  <c r="M168" i="1"/>
  <c r="L169" i="1"/>
  <c r="L171" i="1"/>
  <c r="Q181" i="1"/>
  <c r="M184" i="1"/>
  <c r="L185" i="1"/>
  <c r="L187" i="1"/>
  <c r="Q197" i="1"/>
  <c r="Q200" i="1"/>
  <c r="L201" i="1"/>
  <c r="L203" i="1"/>
  <c r="P218" i="1"/>
  <c r="Q218" i="1" s="1"/>
  <c r="M218" i="1"/>
  <c r="L218" i="1"/>
  <c r="L223" i="1"/>
  <c r="L238" i="1"/>
  <c r="M244" i="1"/>
  <c r="M252" i="1"/>
  <c r="P258" i="1"/>
  <c r="Q258" i="1" s="1"/>
  <c r="L258" i="1"/>
  <c r="L263" i="1"/>
  <c r="L285" i="1"/>
  <c r="Q306" i="1"/>
  <c r="Q308" i="1"/>
  <c r="L324" i="1"/>
  <c r="Q214" i="1"/>
  <c r="M220" i="1"/>
  <c r="Q230" i="1"/>
  <c r="Q246" i="1"/>
  <c r="Q254" i="1"/>
  <c r="Q257" i="1"/>
  <c r="Q296" i="1"/>
  <c r="Q298" i="1"/>
  <c r="Q209" i="1"/>
  <c r="L214" i="1"/>
  <c r="Q226" i="1"/>
  <c r="L230" i="1"/>
  <c r="M232" i="1"/>
  <c r="M235" i="1"/>
  <c r="Q242" i="1"/>
  <c r="L246" i="1"/>
  <c r="Q250" i="1"/>
  <c r="L254" i="1"/>
  <c r="Q266" i="1"/>
  <c r="M279" i="1"/>
  <c r="Q292" i="1"/>
  <c r="Q294" i="1"/>
  <c r="Q295" i="1"/>
  <c r="L296" i="1"/>
  <c r="M297" i="1"/>
  <c r="Q310" i="1"/>
  <c r="Q330" i="1"/>
  <c r="P315" i="1"/>
  <c r="Q315" i="1" s="1"/>
  <c r="L316" i="1"/>
  <c r="P322" i="1"/>
  <c r="Q322" i="1" s="1"/>
  <c r="L323" i="1"/>
  <c r="P328" i="1"/>
  <c r="Q328" i="1" s="1"/>
  <c r="L329" i="1"/>
  <c r="P316" i="1"/>
  <c r="Q316" i="1" s="1"/>
  <c r="P323" i="1"/>
  <c r="Q323" i="1" s="1"/>
  <c r="P329" i="1"/>
  <c r="Q329" i="1" s="1"/>
  <c r="L322" i="1"/>
  <c r="P325" i="1"/>
  <c r="Q325" i="1" s="1"/>
  <c r="L328" i="1"/>
  <c r="P331" i="1"/>
  <c r="Q331" i="1" s="1"/>
  <c r="P288" i="1"/>
  <c r="Q288" i="1" s="1"/>
  <c r="L289" i="1"/>
  <c r="L295" i="1"/>
  <c r="M296" i="1"/>
  <c r="L299" i="1"/>
  <c r="L305" i="1"/>
  <c r="M306" i="1"/>
  <c r="L309" i="1"/>
  <c r="M310" i="1"/>
  <c r="P289" i="1"/>
  <c r="Q289" i="1" s="1"/>
  <c r="P299" i="1"/>
  <c r="Q299" i="1" s="1"/>
  <c r="P305" i="1"/>
  <c r="Q305" i="1" s="1"/>
  <c r="L288" i="1"/>
  <c r="P293" i="1"/>
  <c r="Q293" i="1" s="1"/>
  <c r="P297" i="1"/>
  <c r="Q297" i="1" s="1"/>
  <c r="P307" i="1"/>
  <c r="Q307" i="1" s="1"/>
  <c r="P311" i="1"/>
  <c r="Q311" i="1" s="1"/>
  <c r="L283" i="1"/>
  <c r="P283" i="1"/>
  <c r="Q283" i="1" s="1"/>
  <c r="P285" i="1"/>
  <c r="Q285" i="1" s="1"/>
  <c r="P279" i="1"/>
  <c r="Q279" i="1" s="1"/>
  <c r="P261" i="1"/>
  <c r="Q261" i="1" s="1"/>
  <c r="P269" i="1"/>
  <c r="Q269" i="1" s="1"/>
  <c r="P252" i="1"/>
  <c r="Q252" i="1" s="1"/>
  <c r="L257" i="1"/>
  <c r="P260" i="1"/>
  <c r="Q260" i="1" s="1"/>
  <c r="P264" i="1"/>
  <c r="Q264" i="1" s="1"/>
  <c r="P251" i="1"/>
  <c r="Q251" i="1" s="1"/>
  <c r="L252" i="1"/>
  <c r="P255" i="1"/>
  <c r="Q255" i="1" s="1"/>
  <c r="L256" i="1"/>
  <c r="M257" i="1"/>
  <c r="P259" i="1"/>
  <c r="Q259" i="1" s="1"/>
  <c r="L260" i="1"/>
  <c r="M261" i="1"/>
  <c r="P263" i="1"/>
  <c r="Q263" i="1" s="1"/>
  <c r="L264" i="1"/>
  <c r="P267" i="1"/>
  <c r="Q267" i="1" s="1"/>
  <c r="L268" i="1"/>
  <c r="M269" i="1"/>
  <c r="P253" i="1"/>
  <c r="Q253" i="1" s="1"/>
  <c r="P265" i="1"/>
  <c r="Q265" i="1" s="1"/>
  <c r="P256" i="1"/>
  <c r="Q256" i="1" s="1"/>
  <c r="P268" i="1"/>
  <c r="Q268" i="1" s="1"/>
  <c r="P213" i="1"/>
  <c r="Q213" i="1" s="1"/>
  <c r="P217" i="1"/>
  <c r="Q217" i="1" s="1"/>
  <c r="P225" i="1"/>
  <c r="Q225" i="1" s="1"/>
  <c r="P215" i="1"/>
  <c r="Q215" i="1" s="1"/>
  <c r="L216" i="1"/>
  <c r="P219" i="1"/>
  <c r="Q219" i="1" s="1"/>
  <c r="L220" i="1"/>
  <c r="P223" i="1"/>
  <c r="Q223" i="1" s="1"/>
  <c r="L224" i="1"/>
  <c r="P227" i="1"/>
  <c r="Q227" i="1" s="1"/>
  <c r="L228" i="1"/>
  <c r="P231" i="1"/>
  <c r="Q231" i="1" s="1"/>
  <c r="L232" i="1"/>
  <c r="M233" i="1"/>
  <c r="P235" i="1"/>
  <c r="Q235" i="1" s="1"/>
  <c r="L236" i="1"/>
  <c r="P239" i="1"/>
  <c r="Q239" i="1" s="1"/>
  <c r="L240" i="1"/>
  <c r="P243" i="1"/>
  <c r="Q243" i="1" s="1"/>
  <c r="L244" i="1"/>
  <c r="P247" i="1"/>
  <c r="Q247" i="1" s="1"/>
  <c r="P221" i="1"/>
  <c r="Q221" i="1" s="1"/>
  <c r="P229" i="1"/>
  <c r="Q229" i="1" s="1"/>
  <c r="P233" i="1"/>
  <c r="Q233" i="1" s="1"/>
  <c r="P237" i="1"/>
  <c r="Q237" i="1" s="1"/>
  <c r="P241" i="1"/>
  <c r="Q241" i="1" s="1"/>
  <c r="P245" i="1"/>
  <c r="Q245" i="1" s="1"/>
  <c r="P216" i="1"/>
  <c r="Q216" i="1" s="1"/>
  <c r="P220" i="1"/>
  <c r="Q220" i="1" s="1"/>
  <c r="P224" i="1"/>
  <c r="Q224" i="1" s="1"/>
  <c r="P228" i="1"/>
  <c r="Q228" i="1" s="1"/>
  <c r="P232" i="1"/>
  <c r="Q232" i="1" s="1"/>
  <c r="P236" i="1"/>
  <c r="Q236" i="1" s="1"/>
  <c r="P240" i="1"/>
  <c r="Q240" i="1" s="1"/>
  <c r="P244" i="1"/>
  <c r="Q244" i="1" s="1"/>
  <c r="P172" i="1"/>
  <c r="Q172" i="1" s="1"/>
  <c r="P184" i="1"/>
  <c r="Q184" i="1" s="1"/>
  <c r="P159" i="1"/>
  <c r="Q159" i="1" s="1"/>
  <c r="L160" i="1"/>
  <c r="P163" i="1"/>
  <c r="Q163" i="1" s="1"/>
  <c r="L164" i="1"/>
  <c r="M165" i="1"/>
  <c r="P167" i="1"/>
  <c r="Q167" i="1" s="1"/>
  <c r="L168" i="1"/>
  <c r="P171" i="1"/>
  <c r="Q171" i="1" s="1"/>
  <c r="L172" i="1"/>
  <c r="P175" i="1"/>
  <c r="Q175" i="1" s="1"/>
  <c r="L176" i="1"/>
  <c r="P179" i="1"/>
  <c r="Q179" i="1" s="1"/>
  <c r="L180" i="1"/>
  <c r="P183" i="1"/>
  <c r="Q183" i="1" s="1"/>
  <c r="L184" i="1"/>
  <c r="M185" i="1"/>
  <c r="P187" i="1"/>
  <c r="Q187" i="1" s="1"/>
  <c r="L188" i="1"/>
  <c r="P191" i="1"/>
  <c r="Q191" i="1" s="1"/>
  <c r="L192" i="1"/>
  <c r="P195" i="1"/>
  <c r="Q195" i="1" s="1"/>
  <c r="L196" i="1"/>
  <c r="M197" i="1"/>
  <c r="P199" i="1"/>
  <c r="Q199" i="1" s="1"/>
  <c r="L200" i="1"/>
  <c r="M201" i="1"/>
  <c r="P203" i="1"/>
  <c r="Q203" i="1" s="1"/>
  <c r="L204" i="1"/>
  <c r="M205" i="1"/>
  <c r="L208" i="1"/>
  <c r="M209" i="1"/>
  <c r="P160" i="1"/>
  <c r="Q160" i="1" s="1"/>
  <c r="P164" i="1"/>
  <c r="Q164" i="1" s="1"/>
  <c r="P168" i="1"/>
  <c r="Q168" i="1" s="1"/>
  <c r="P180" i="1"/>
  <c r="Q180" i="1" s="1"/>
  <c r="P158" i="1"/>
  <c r="Q158" i="1" s="1"/>
  <c r="P162" i="1"/>
  <c r="Q162" i="1" s="1"/>
  <c r="P166" i="1"/>
  <c r="Q166" i="1" s="1"/>
  <c r="P170" i="1"/>
  <c r="Q170" i="1" s="1"/>
  <c r="P174" i="1"/>
  <c r="Q174" i="1" s="1"/>
  <c r="P178" i="1"/>
  <c r="Q178" i="1" s="1"/>
  <c r="P182" i="1"/>
  <c r="Q182" i="1" s="1"/>
  <c r="P186" i="1"/>
  <c r="Q186" i="1" s="1"/>
  <c r="P190" i="1"/>
  <c r="Q190" i="1" s="1"/>
  <c r="P194" i="1"/>
  <c r="Q194" i="1" s="1"/>
  <c r="M196" i="1"/>
  <c r="P198" i="1"/>
  <c r="Q198" i="1" s="1"/>
  <c r="M200" i="1"/>
  <c r="P202" i="1"/>
  <c r="Q202" i="1" s="1"/>
  <c r="P206" i="1"/>
  <c r="Q206" i="1" s="1"/>
  <c r="P210" i="1"/>
  <c r="Q210" i="1" s="1"/>
  <c r="L145" i="1"/>
  <c r="L149" i="1"/>
  <c r="P152" i="1"/>
  <c r="Q152" i="1" s="1"/>
  <c r="P149" i="1"/>
  <c r="Q149" i="1" s="1"/>
  <c r="P143" i="1"/>
  <c r="Q143" i="1" s="1"/>
  <c r="M145" i="1"/>
  <c r="P134" i="1"/>
  <c r="Q134" i="1" s="1"/>
  <c r="P133" i="1"/>
  <c r="Q133" i="1" s="1"/>
  <c r="L134" i="1"/>
  <c r="M135" i="1"/>
  <c r="P137" i="1"/>
  <c r="Q137" i="1" s="1"/>
  <c r="L138" i="1"/>
  <c r="P138" i="1"/>
  <c r="Q138" i="1" s="1"/>
  <c r="L137" i="1"/>
  <c r="P140" i="1"/>
  <c r="Q140" i="1" s="1"/>
  <c r="P94" i="1"/>
  <c r="Q94" i="1" s="1"/>
  <c r="L95" i="1"/>
  <c r="P95" i="1"/>
  <c r="Q95" i="1" s="1"/>
  <c r="P93" i="1"/>
  <c r="Q93" i="1" s="1"/>
  <c r="L94" i="1"/>
  <c r="P97" i="1"/>
  <c r="Q97" i="1" s="1"/>
  <c r="L86" i="1"/>
  <c r="M87" i="1"/>
  <c r="P86" i="1"/>
  <c r="Q86" i="1" s="1"/>
  <c r="P84" i="1"/>
  <c r="Q84" i="1" s="1"/>
  <c r="P88" i="1"/>
  <c r="Q88" i="1" s="1"/>
  <c r="P62" i="1"/>
  <c r="Q62" i="1" s="1"/>
  <c r="P70" i="1"/>
  <c r="Q70" i="1" s="1"/>
  <c r="P78" i="1"/>
  <c r="Q78" i="1" s="1"/>
  <c r="L46" i="1"/>
  <c r="P49" i="1"/>
  <c r="Q49" i="1" s="1"/>
  <c r="L50" i="1"/>
  <c r="P53" i="1"/>
  <c r="Q53" i="1" s="1"/>
  <c r="L54" i="1"/>
  <c r="P57" i="1"/>
  <c r="Q57" i="1" s="1"/>
  <c r="L58" i="1"/>
  <c r="P61" i="1"/>
  <c r="Q61" i="1" s="1"/>
  <c r="L62" i="1"/>
  <c r="P65" i="1"/>
  <c r="Q65" i="1" s="1"/>
  <c r="L66" i="1"/>
  <c r="P69" i="1"/>
  <c r="Q69" i="1" s="1"/>
  <c r="L70" i="1"/>
  <c r="P73" i="1"/>
  <c r="Q73" i="1" s="1"/>
  <c r="L74" i="1"/>
  <c r="P77" i="1"/>
  <c r="Q77" i="1" s="1"/>
  <c r="L78" i="1"/>
  <c r="P46" i="1"/>
  <c r="Q46" i="1" s="1"/>
  <c r="P50" i="1"/>
  <c r="Q50" i="1" s="1"/>
  <c r="P54" i="1"/>
  <c r="Q54" i="1" s="1"/>
  <c r="P66" i="1"/>
  <c r="Q66" i="1" s="1"/>
  <c r="P74" i="1"/>
  <c r="Q74" i="1" s="1"/>
  <c r="P58" i="1"/>
  <c r="Q58" i="1" s="1"/>
  <c r="P48" i="1"/>
  <c r="Q48" i="1" s="1"/>
  <c r="L49" i="1"/>
  <c r="P52" i="1"/>
  <c r="Q52" i="1" s="1"/>
  <c r="L53" i="1"/>
  <c r="P56" i="1"/>
  <c r="Q56" i="1" s="1"/>
  <c r="L57" i="1"/>
  <c r="P60" i="1"/>
  <c r="Q60" i="1" s="1"/>
  <c r="L61" i="1"/>
  <c r="P64" i="1"/>
  <c r="Q64" i="1" s="1"/>
  <c r="L65" i="1"/>
  <c r="P68" i="1"/>
  <c r="Q68" i="1" s="1"/>
  <c r="L69" i="1"/>
  <c r="P72" i="1"/>
  <c r="Q72" i="1" s="1"/>
  <c r="L73" i="1"/>
  <c r="P76" i="1"/>
  <c r="Q76" i="1" s="1"/>
  <c r="L77" i="1"/>
  <c r="P80" i="1"/>
  <c r="Q80" i="1" s="1"/>
  <c r="P43" i="1"/>
  <c r="Q43" i="1" s="1"/>
  <c r="P38" i="1"/>
  <c r="Q38" i="1" s="1"/>
  <c r="L39" i="1"/>
  <c r="P34" i="1"/>
  <c r="Q34" i="1" s="1"/>
  <c r="L34" i="1"/>
  <c r="P36" i="1"/>
  <c r="Q36" i="1" s="1"/>
  <c r="P30" i="1"/>
  <c r="Q30" i="1" s="1"/>
  <c r="P24" i="1"/>
  <c r="Q24" i="1" s="1"/>
  <c r="L24" i="1"/>
  <c r="P27" i="1"/>
  <c r="Q27" i="1" s="1"/>
  <c r="A23" i="1" l="1"/>
  <c r="C11" i="4"/>
  <c r="O336" i="1"/>
  <c r="Q333" i="1"/>
  <c r="C6" i="4" s="1"/>
  <c r="C7" i="4" s="1"/>
  <c r="J336" i="1"/>
  <c r="M336" i="1"/>
  <c r="A25" i="1" l="1"/>
  <c r="A24" i="1"/>
  <c r="C10" i="4"/>
  <c r="C9" i="4"/>
  <c r="C12" i="4"/>
  <c r="A26" i="1" l="1"/>
  <c r="A27" i="1" s="1"/>
  <c r="A29" i="1"/>
  <c r="A30" i="1" s="1"/>
  <c r="A32" i="1" s="1"/>
  <c r="A34" i="1" s="1"/>
  <c r="A35" i="1" s="1"/>
  <c r="A36" i="1" s="1"/>
  <c r="A38" i="1" s="1"/>
  <c r="A39" i="1" s="1"/>
  <c r="A40" i="1" s="1"/>
  <c r="A41" i="1" s="1"/>
  <c r="A43"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3" i="1" s="1"/>
  <c r="A84" i="1" s="1"/>
  <c r="A85" i="1" s="1"/>
  <c r="A86" i="1" s="1"/>
  <c r="A87" i="1" s="1"/>
  <c r="A88" i="1" s="1"/>
  <c r="A92" i="1" s="1"/>
  <c r="A93" i="1" s="1"/>
  <c r="A94" i="1" s="1"/>
  <c r="A95" i="1" s="1"/>
  <c r="A96" i="1" s="1"/>
  <c r="A97"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31" i="1" s="1"/>
  <c r="A132" i="1" s="1"/>
  <c r="A133" i="1" s="1"/>
  <c r="A134" i="1" s="1"/>
  <c r="A135" i="1" s="1"/>
  <c r="A136" i="1" s="1"/>
  <c r="A137" i="1" s="1"/>
  <c r="A138" i="1" s="1"/>
  <c r="A139" i="1" s="1"/>
  <c r="A140" i="1" s="1"/>
  <c r="A143" i="1" s="1"/>
  <c r="A144" i="1" s="1"/>
  <c r="A145" i="1" s="1"/>
  <c r="A146" i="1" s="1"/>
  <c r="A147" i="1" s="1"/>
  <c r="A148" i="1" s="1"/>
  <c r="A149" i="1" s="1"/>
  <c r="A150" i="1" s="1"/>
  <c r="A151" i="1" s="1"/>
  <c r="A152" i="1" s="1"/>
  <c r="A153" i="1" s="1"/>
  <c r="A154" i="1" s="1"/>
  <c r="A155"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4" i="1" s="1"/>
  <c r="A275" i="1" s="1"/>
  <c r="A278" i="1" s="1"/>
  <c r="A279" i="1" s="1"/>
  <c r="A283" i="1" s="1"/>
  <c r="A284" i="1" s="1"/>
  <c r="A285" i="1" s="1"/>
  <c r="A288" i="1" s="1"/>
  <c r="A289" i="1" s="1"/>
  <c r="A292" i="1" s="1"/>
  <c r="A293" i="1" s="1"/>
  <c r="A294" i="1" s="1"/>
  <c r="A295" i="1" s="1"/>
  <c r="A296" i="1" s="1"/>
  <c r="A297" i="1" s="1"/>
  <c r="A298" i="1" s="1"/>
  <c r="A299" i="1" s="1"/>
  <c r="A300" i="1" s="1"/>
  <c r="A303" i="1" s="1"/>
  <c r="A304" i="1" s="1"/>
  <c r="A305" i="1" s="1"/>
  <c r="A306" i="1" s="1"/>
  <c r="A307" i="1" s="1"/>
  <c r="A308" i="1" s="1"/>
  <c r="A309" i="1" s="1"/>
  <c r="A310" i="1" s="1"/>
  <c r="A311" i="1" s="1"/>
  <c r="A315" i="1" s="1"/>
  <c r="A316" i="1" s="1"/>
  <c r="A317" i="1" s="1"/>
  <c r="A318" i="1" s="1"/>
  <c r="A322" i="1" s="1"/>
  <c r="A323" i="1" s="1"/>
  <c r="A324" i="1" s="1"/>
  <c r="A325" i="1" s="1"/>
  <c r="A328" i="1" s="1"/>
  <c r="A329" i="1" s="1"/>
  <c r="A330" i="1" s="1"/>
  <c r="A331" i="1" s="1"/>
  <c r="C13" i="4"/>
</calcChain>
</file>

<file path=xl/sharedStrings.xml><?xml version="1.0" encoding="utf-8"?>
<sst xmlns="http://schemas.openxmlformats.org/spreadsheetml/2006/main" count="677" uniqueCount="377">
  <si>
    <t>GENERAL SUMMARY</t>
  </si>
  <si>
    <t>DIVISION NO.</t>
  </si>
  <si>
    <t>DESCRIPTION</t>
  </si>
  <si>
    <t>TOTAL DIV. COST</t>
  </si>
  <si>
    <t>General Requirments</t>
  </si>
  <si>
    <t>HVAC</t>
  </si>
  <si>
    <t>TOTAL TRADE COST</t>
  </si>
  <si>
    <t>CONTINGENCY</t>
  </si>
  <si>
    <t>PERFORMANCE AND PAYMENT BONDS</t>
  </si>
  <si>
    <t>TOTAL BASEBID</t>
  </si>
  <si>
    <t>DETAILED BREAKDOWN OF ITEMS</t>
  </si>
  <si>
    <t>Project Name</t>
  </si>
  <si>
    <t>Project Address</t>
  </si>
  <si>
    <t>Scope:</t>
  </si>
  <si>
    <t>S#</t>
  </si>
  <si>
    <t>Dwg.</t>
  </si>
  <si>
    <t>CSI NO</t>
  </si>
  <si>
    <t>QTY.</t>
  </si>
  <si>
    <t>Wastage</t>
  </si>
  <si>
    <t>Qty w/ Waste</t>
  </si>
  <si>
    <t>UNIT</t>
  </si>
  <si>
    <t>UNIT LABOR HOUR</t>
  </si>
  <si>
    <t>TOTAL LABOR HOUR</t>
  </si>
  <si>
    <t>LABOR WAGE/ HOUR</t>
  </si>
  <si>
    <t>UNIT LABOR COST</t>
  </si>
  <si>
    <t>TOTAL LABOR COST</t>
  </si>
  <si>
    <t>UNIT MATERIAL  COST</t>
  </si>
  <si>
    <t>TOTAL MATERIAL COST</t>
  </si>
  <si>
    <t>UNIT PRICE (Labor &amp; Material)</t>
  </si>
  <si>
    <t>TRADE TOTAL</t>
  </si>
  <si>
    <t>DIVISION 01-GENERAL REQUIREMENTS</t>
  </si>
  <si>
    <t>Permits</t>
  </si>
  <si>
    <t>LS</t>
  </si>
  <si>
    <t>Supervision and Coordination</t>
  </si>
  <si>
    <t>Submittals and Shop drawings</t>
  </si>
  <si>
    <t>Final Cleaning</t>
  </si>
  <si>
    <t>Mobilization Costs</t>
  </si>
  <si>
    <t>Temporary Control &amp; Facilities</t>
  </si>
  <si>
    <t>Scaffolding</t>
  </si>
  <si>
    <t>SUBTOTAL</t>
  </si>
  <si>
    <t>DIVISION 23- HVAC</t>
  </si>
  <si>
    <t>EQUIPMENTS</t>
  </si>
  <si>
    <t>EF-1, DIRECT DRIVE CABINET FAN. MANUFACTURER &amp; MODEL NO. COOK – GC-146. ENCLOSURE TYPE ODP. CFM 90. SP .125. MOUNTING ARRANGEMENT CEILING. VOLTAGE 115V/1Ø. WATTS 32. FLA 0.313. MOCP –. RPM 811.
NOTES:
REFER TO ELECTRICAL PLANS FOR CONTROL. PROVIDE A 277V TO 120V STEPDOWN TRANSFORMER EQUAL TO A ELCO MANUFACTURER. HVAC CONTRACTOR TO PROVIDE, ELECTRICIAN TO INSTALL, &amp; PROVIDE W/ MOUNTING ACCESSORIES</t>
  </si>
  <si>
    <t>EA</t>
  </si>
  <si>
    <t>EF-2, DIRECT DRIVE CABINET FAN. MANUFACTURER &amp; MODEL NO. COOK – GC-146. ENCLOSURE TYPE ODP. CFM 90. SP .125. MOUNTING ARRANGEMENT CEILING. VOLTAGE 115V/1Ø. WATTS 32. FLA 0.313. MOCP –. RPM 811.
NOTES:
REFER TO ELECTRICAL PLANS FOR CONTROL. PROVIDE A 277V TO 120V STEPDOWN TRANSFORMER EQUAL TO A ELCO MANUFACTURER. HVAC CONTRACTOR TO PROVIDE, ELECTRICIAN TO INSTALL, &amp; PROVIDE W/ MOUNTING ACCESSORIES</t>
  </si>
  <si>
    <t>EF-3, DIRECT DRIVE CABINET FAN. MANUFACTURER &amp; MODEL NO. COOK – GC-146. ENCLOSURE TYPE ODP. CFM 90. SP .125. MOUNTING ARRANGEMENT CEILING. VOLTAGE 115V/1Ø. WATTS 32. FLA 0.313. MOCP –. RPM 811.
NOTES:
REFER TO ELECTRICAL PLANS FOR CONTROL. PROVIDE A 277V TO 120V STEPDOWN TRANSFORMER EQUAL TO A ELCO MANUFACTURER. HVAC CONTRACTOR TO PROVIDE, ELECTRICIAN TO INSTALL, &amp; PROVIDE W/ MOUNTING ACCESSORIES</t>
  </si>
  <si>
    <t>EF-4, DIRECT DRIVE CABINET FAN. MANUFACTURER &amp; MODEL NO. COOK – GC-166. ENCLOSURE TYPE ODP. CFM 150. SP .125". MOUNTING ARRANGEMENT INLINE. VOLTAGE 115V/1Ø. WATTS 48. FLA 0.443. MOCP –. RPM 1067.
NOTES:
REFER TO ELECTRICAL PLANS FOR CONTROL. PROVIDE A 277V TO 120V STEPDOWN TRANSFORMER EQUAL TO A ELCO MANUFACTURER. HVAC CONTRACTOR TO PROVIDE, ELECTRICIAN TO INSTALL, &amp; PROVIDE W/ MOUNTING ACCESSORIES</t>
  </si>
  <si>
    <t>EF-5, DIRECT DRIVE CABINET FAN. MANUFACTURER &amp; MODEL NO. COOK – GC-166. ENCLOSURE TYPE ODP. CFM 150. SP .125". MOUNTING ARRANGEMENT INLINE. VOLTAGE 115V/1Ø. WATTS 48. FLA 0.443. MOCP –. RPM 1067.
NOTES:
REFER TO ELECTRICAL PLANS FOR CONTROL. PROVIDE A 277V TO 120V STEPDOWN TRANSFORMER EQUAL TO A ELCO MANUFACTURER. HVAC CONTRACTOR TO PROVIDE, ELECTRICIAN TO INSTALL, &amp; PROVIDE W/ MOUNTING ACCESSORIES</t>
  </si>
  <si>
    <t>EF-6, DIRECT DRIVE CABINET FAN. MANUFACTURER &amp; MODEL NO. COOK – GC-186. ENCLOSURE TYPE ODP. CFM 190. SP .125". MOUNTING ARRANGEMENT CEILING. VOLTAGE 115V/1Ø. WATTS 79. FLA 0.817. MOCP –. RPM 940.
NOTES:
REFER TO ELECTRICAL PLANS FOR CONTROL. PROVIDE A 277V TO 120V STEPDOWN TRANSFORMER EQUAL TO A ELCO MANUFACTURER. HVAC CONTRACTOR TO PROVIDE, ELECTRICIAN TO INSTALL, &amp; PROVIDE W/ MOUNTING ACCESSORIES</t>
  </si>
  <si>
    <t>EF-7, DIRECT DRIVE CABINET FAN. MANUFACTURER &amp; MODEL NO. COOK – GC-186. ENCLOSURE TYPE ODP. CFM 400. SP .125". MOUNTING ARRANGEMENT CEILING. VOLTAGE 115V/1Ø. WATTS 124. FLA 1.42. MOCP –. RPM 1,182.
NOTES:
REFER TO ELECTRICAL PLANS FOR CONTROL. PROVIDE A 277V TO 120V STEPDOWN TRANSFORMER EQUAL TO A ELCO MANUFACTURER. HVAC CONTRACTOR TO PROVIDE, ELECTRICIAN TO INSTALL, &amp; PROVIDE W/ MOUNTING ACCESSORIES</t>
  </si>
  <si>
    <t>EF-8, DIRECT DRIVE CABINET FAN. MANUFACTURER &amp; MODEL NO. COOK – GC-186. ENCLOSURE TYPE ODP. CFM 400. SP .125". MOUNTING ARRANGEMENT CEILING. VOLTAGE 115V/1Ø. WATTS 124. FLA 1.42. MOCP –. RPM 1,182.
NOTES:
REFER TO ELECTRICAL PLANS FOR CONTROL. PROVIDE A 277V TO 120V STEPDOWN TRANSFORMER EQUAL TO A ELCO MANUFACTURER. HVAC CONTRACTOR TO PROVIDE, ELECTRICIAN TO INSTALL, &amp; PROVIDE W/ MOUNTING ACCESSORIES</t>
  </si>
  <si>
    <t>RETURN AIR DUCT MOUNTED POWER EXHAUST FAN TO BE FIELD INSTALLED</t>
  </si>
  <si>
    <t>AC #1: ON GRADE PACKAGE UNIT W/GAS HEAT. MANUFACTURER CARRIER. MODEL NO. 48FEEM16A2A6-0A0A0. TOTAL COOLING CAPACITY 177,760 MBH. SENSIBLE CAPACITY 127,200 MBH. GAS HEATER BTU INPUT 240,000. GAS HEATER BTU OUTPUT 192,000. INDOOR FAN TOTAL CFM 6,000. OUTSIDE AIR CFM SEE SCHEDULE. EXTERNAL STATIC PRESSURE 0.9". FAN RPM 1,784. INDOOR FAN BRAKE HORSEPOWER 2.75. COMPRESSOR RUNNING LOAD AMPS (1) @ 13.4 AND (1) @ 9.1. OUTDOOR FAN FULL LOAD AMPS (3) @ 0.8. VOLTAGE 480V/3Ø. MAXIMUM OVERCURRENT PROTECTION 45. ENERGY EFFICIENCY RATIO 10.8. OPERATING WEIGHT 1,640 LBS.
NOTES 
1.FACTORY ROOF CURB.
2.CONTRACTOR TO PROVIDE THRU CURB/UNIT CONNECTIONS.
3.ELECTRONIC PROGRAMMABLE THERMOSTAT.
4.COMPRESSOR TIME DELAY.
5.FILTER DOOR ACCESS PANEL KIT.
6.PROVIDE (1) YEAR WARRANTY ON ALL PARTS AND LABOR AND (5) YEAR WARRANTY ON COMPRESSOR.
7.PROVIDE (1" FARR 30/30 THROWAWAY FILTERS. (1) SET DURING CONSTRUCTION AND (1) SET AFTER FINAL INSPECTION.
8.PROVIDE ALL NECESSARY CONTACTORS, RELAYS, MOTOR STARTERS, ETC. FOR A COMPLETE OPERATING UNIT.
9.UNIT PROVIDED WITH PURON ADVANCE (R-454B) REFRIGERANT.
10.UNIT SHALL BE PROVIDED WITH FACTORY INSTALLED ECONOMIZER AND POWER EXHAUSTER. MOTORIZED OUTSIDE AIR DAMPER SHALL AUTOMATICALLY SHUT WHEN THE SYSTEMS OR SPACES SERVED ARE NOT IN USE.
GENERAL NOTES:
ALL RATINGS ARE AT ARI ENTERING CONDITIONS UNLESS OTHERWISE NOTED. EXTERNAL STATIC PRESSURE DOES NOT INCLUDE COIL OR FILTER PRESSURE DROP. APPROVED EQUALS SHALL BE YORK, TRANE, AND LENNOX. IT SHALL BE THE CONTRACTOR’S RESPONSIBILITY TO VERIFY THAT ANY CLEARANCE REQUIREMENTS AND OR ELECTRICAL</t>
  </si>
  <si>
    <t>AC #2: ON GRADE PACKAGE UNIT W/GAS HEAT. MANUFACTURER CARRIER. MODEL NO. 48FEEM28A2A6-8B0A0. TOTAL COOLING CAPACITY 288,510 MBH. SENSIBLE CAPACITY 213,430 MBH. GAS HEATER BTU INPUT 310,000. GAS HEATER BTU OUTPUT 248,000. INDOOR FAN TOTAL CFM 10,000. OUTSIDE AIR CFM SEE SCHEDULE. EXTERNAL STATIC PRESSURE 0.7". FAN RPM 1,704. INDOOR FAN BRAKE HORSEPOWER 4.58. COMPRESSOR RUNNING LOAD AMPS (2) @ 21.6. OUTDOOR FAN FULL LOAD AMPS (4) @ 0.9. VOLTAGE 480V/3Ø. MAXIMUM OVERCURRENT PROTECTION 80. ENERGY EFFICIENCY RATIO 14.0. OPERATING WEIGHT 2,438 LBS.
NOTES 
1.FACTORY ROOF CURB.
2.CONTRACTOR TO PROVIDE THRU CURB/UNIT CONNECTIONS.
3.ELECTRONIC PROGRAMMABLE THERMOSTAT.
4.COMPRESSOR TIME DELAY.
5.FILTER DOOR ACCESS PANEL KIT.
6.PROVIDE (1) YEAR WARRANTY ON ALL PARTS AND LABOR AND (5) YEAR WARRANTY ON COMPRESSOR.
7.PROVIDE (1" FARR 30/30 THROWAWAY FILTERS. (1) SET DURING CONSTRUCTION AND (1) SET AFTER FINAL INSPECTION.
8.PROVIDE ALL NECESSARY CONTACTORS, RELAYS, MOTOR STARTERS, ETC. FOR A COMPLETE OPERATING UNIT.
9.UNIT PROVIDED WITH PURON ADVANCE (R-454B) REFRIGERANT.
10.UNIT SHALL BE PROVIDED WITH FACTORY INSTALLED ECONOMIZER AND POWER EXHAUSTER. MOTORIZED OUTSIDE AIR DAMPER SHALL AUTOMATICALLY SHUT WHEN THE SYSTEMS OR SPACES SERVED ARE NOT IN USE.
GENERAL NOTES:
ALL RATINGS ARE AT ARI ENTERING CONDITIONS UNLESS OTHERWISE NOTED. EXTERNAL STATIC PRESSURE DOES NOT INCLUDE COIL OR FILTER PRESSURE DROP. APPROVED EQUALS SHALL BE YORK, TRANE, AND LENNOX. IT SHALL BE THE CONTRACTOR’S RESPONSIBILITY TO VERIFY THAT ANY CLEARANCE REQUIREMENTS AND OR ELECTRICAL</t>
  </si>
  <si>
    <t>AC #6 (INDOOR UNIT): INDOOR UNIT. MANUFACTURER &amp; MODEL NO. CARRIER – 45MHHAQ18XC3. TOTAL CFM 270–400. BLOWER SPEED 3-SPEED. VOLTAGE 208V/1Ø. WEIGHT 72 LBS.
SPECIFIC NOTES:
1.SIZE AND RUN REFRIGERANT PIPING AS PER MANUFACTURERS PUBLISHED RECOMMENDATIONS. 
2.INSULATE REFRIGERANT SUCTION LINE WITH 3/4" ARMAFLEX OR APPROVED EQUAL. 
3.POWER SUPPLY IS TO OUTDOOR UNIT, INTERCONNECTING WIRING FROM OUTDOOR UNIT TO INDOOR UNIT. 
4.UNIT PROVIDED WITH R-454B REFRIGERANT.</t>
  </si>
  <si>
    <t>AHU #3: GAS FURNACE, MANUFACTURER &amp; MODEL NO. CARRIER – 59SC6A100M21. TOTAL CFM 1,950. EXTERNAL STATIC PRESSURE .40". FAN HORSE POWER 1.0. VOLTAGE 115V/1Ø. MAX. OVERCURRENT PROTECTION 20. EFFICIENCY +96.3 AFUE. INPUT BTUH 100,000. OUTPUT BTUH 97,000. FLUE SIZE (2) @ 3". NOTES 1 THRU 5.
NOTES: SIZE AND RUN REFRIGERANT PIPING AS PER MANUFACTURERS PUBLISHED RECOMMENDATIONS. PROVIDE 5 YEAR WARRANTY ON COMPRESSOR AND 1 YEAR WARRANTY ON ALL PARTS AND LABOR. FURNACE SHALL BE PROVIDED WITH CONCENTRIC VENT/INTAKE AIR ROOF TERMINATION KIT. AHU SHALL BE CONFIGURED FOR ACCESS ON THIS SIDE OF THE UNIT INDICATED ON PLANS. CONDENSING UNIT SHALL BE PROVIDED WITH "LOW AMBIENT TO ZERO", FASTEN UNI-STRUT CHANNEL TO BUILDING STRUCTURE WITH 3/8" BOLT, DOUBLE NUTS AND WASHERS (6 EA) &amp; CONTRACTOR SHALL PROVIDE HEAVY DUTY UNI-STRUT CHANNEL SUPPORT SPANNING FLOOR JOISTS (2 EA), &amp; PROVIDE 3/8" DIAMETER THREADED ROD WITH WASHERS AND DOUBLE NUTS. LOCATE RODS TO NOT INTERFERE WITH AHU SERVICE ACCESS. (TYP. OF 8), &amp; PROVIDE UNI-STRUT CHANNELS SPANNING BETWEEN THREADED RODS TO SUPPORT AHU AND SAFEPAN. PROVIDE ISOMODE PADS UNDER AHU AT FOUR CORNERS (8 EA) ROVIDE GALVANIZED METAL STRAPS TO PASS OVER CHANNELS AND SUPPORT DRAIN PAN, &amp; PROVIDE DRAIN ON DRAIN PAN TO REMOVE
ANY WATER. DRAIN MAY BE A THREADED PLUG.</t>
  </si>
  <si>
    <t>AHU #4: GAS FURNACE, MANUFACTURER &amp; MODEL NO. CARRIER – 59SC6A100M21. TOTAL CFM 1,950. EXTERNAL STATIC PRESSURE .40". FAN HORSE POWER 1.0. VOLTAGE 115V/1Ø. MAX. OVERCURRENT PROTECTION 20. EFFICIENCY +96.3 AFUE. INPUT BTUH 100,000. OUTPUT BTUH 97,000. FLUE SIZE (2) @ 3". NOTES 1 THRU 5.
NOTES: SIZE AND RUN REFRIGERANT PIPING AS PER MANUFACTURERS PUBLISHED RECOMMENDATIONS. PROVIDE 5 YEAR WARRANTY ON COMPRESSOR AND 1 YEAR WARRANTY ON ALL PARTS AND LABOR. FURNACE SHALL BE PROVIDED WITH CONCENTRIC VENT/INTAKE AIR ROOF TERMINATION KIT. AHU SHALL BE CONFIGURED FOR ACCESS ON THIS SIDE OF THE UNIT INDICATED ON PLANS. CONDENSING UNIT SHALL BE PROVIDED WITH "LOW AMBIENT TO ZERO", FASTEN UNI-STRUT CHANNEL TO BUILDING STRUCTURE WITH 3/8" BOLT, DOUBLE NUTS AND WASHERS (6 EA) &amp; CONTRACTOR SHALL PROVIDE HEAVY DUTY UNI-STRUT CHANNEL SUPPORT SPANNING FLOOR JOISTS (2 EA), &amp; PROVIDE 3/8" DIAMETER THREADED ROD WITH WASHERS AND DOUBLE NUTS. LOCATE RODS TO NOT INTERFERE WITH AHU SERVICE ACCESS. (TYP. OF 8), &amp; PROVIDE UNI-STRUT CHANNELS SPANNING BETWEEN THREADED RODS TO SUPPORT AHU AND SAFEPAN. PROVIDE ISOMODE PADS UNDER AHU AT FOUR CORNERS (8 EA) ROVIDE GALVANIZED METAL STRAPS TO PASS OVER CHANNELS AND SUPPORT DRAIN PAN, &amp; PROVIDE DRAIN ON DRAIN PAN TO REMOVE
ANY WATER. DRAIN MAY BE A THREADED PLUG.</t>
  </si>
  <si>
    <t xml:space="preserve">AHU #5: GAS FURNACE, MANUFACTURER &amp; MODEL NO. CARRIER – 59SC6A080M17. TOTAL CFM 1,200. EXTERNAL STATIC PRESSURE .40". FAN HORSE POWER 0.75. VOLTAGE 115V/1Ø. MAX. OVERCURRENT PROTECTION 15. EFFICIENCY +97 AFUE. INPUT BTUH 80,000. OUTPUT BTUH 78,000. FLUE SIZE (2) @ 3". NOTES 1 THRU 5.
NOTES: SIZE AND RUN REFRIGERANT PIPING AS PER MANUFACTURERS PUBLISHED RECOMMENDATIONS. PROVIDE 5 YEAR WARRANTY ON COMPRESSOR AND 1 YEAR WARRANTY ON ALL PARTS AND LABOR. FURNACE SHALL BE PROVIDED WITH CONCENTRIC VENT/INTAKE AIR ROOF TERMINATION KIT. AHU SHALL BE CONFIGURED FOR ACCESS ON THIS SIDE OF THE UNIT INDICATED ON PLANS. CONDENSING UNIT SHALL BE PROVIDED WITH "LOW AMBIENT TO ZERO", FASTEN UNI-STRUT CHANNEL TO BUILDING STRUCTURE WITH 3/8" BOLT, DOUBLE NUTS AND WASHERS (6 EA) &amp; CONTRACTOR SHALL PROVIDE HEAVY DUTY UNI-STRUT CHANNEL SUPPORT SPANNING FLOOR JOISTS (2 EA), &amp; PROVIDE 3/8" DIAMETER THREADED ROD WITH WASHERS AND DOUBLE NUTS. LOCATE RODS TO NOT INTERFERE WITH AHU SERVICE ACCESS. (TYP. OF 8), &amp; PROVIDE UNI-STRUT CHANNELS SPANNING BETWEEN THREADED RODS TO SUPPORT AHU AND SAFEPAN. PROVIDE ISOMODE PADS UNDER AHU AT FOUR CORNERS (8 EA) ROVIDE GALVANIZED METAL STRAPS TO PASS OVER CHANNELS AND SUPPORT DRAIN PAN, &amp; PROVIDE DRAIN ON DRAIN PAN TO REMOVE
ANY WATER. DRAIN MAY BE A THREADED PLUG.
</t>
  </si>
  <si>
    <t>CU #6: AIR COOLED AIR CONDITIONING CONDENSING UNIT. MANUFACTURER &amp; MODEL NO. CARRIER – 37MHRAQ18AA3. TOTAL CAPACITY COOLING 18,000. TOTAL CAPACITY HEATING –. MINIMUM CIRCUIT AMPS 15A. MAXIMUM OVERCURRENT PROTECTION 20A. VOLTAGE 208V/1Ø. SEER2 20.3. WEIGHT 72 LBS, 2" X 2" X 3/16" STEEL ANGLE WITH 3/8" BOLTS TO BASE OF UNIT AND 3/8" SLEEVE ANCHOR INTO CONCRETE PAD. (TYPICAL TWO SIDES), 4", 3000 psi, CONCRETE PAD</t>
  </si>
  <si>
    <t>CU #3, CONDENSING UNIT, MANUFACTURER &amp; MODEL NO. CARRIER – 24ABB360A006. TOTAL CAPACITY 58,270. SENSIBLE CAPACITY 43,360. COMPRESSOR RUNNING LOAD AMPS 7.8. FAN FULL LOAD AMPS 0.7. VOLTAGE 480V/3Ø. MAX. OVERCURRENT PROTECTION 15A. SEASONAL ENERGY EFFICIENCY RATIO 13.0. EVAPORATOR COIL UNIT MANUFACTURER &amp; MODEL NO. CARRIER – CAPMP6121ALA.
NOTES: ALL RATINGS ARE AT ARI ENTERING CONDITIONS UNLESS OTHERWISE NOTED. PROVIDE VIBRATION ISOLATION FOR UNITS. EXTERNAL STATIC PRESSURE DOES NOT INCLUDE COIL OR FILTER PRESSURE DROP. CONTRACTOR MAY SUBSTITUTE MANUFACTURER FOR APPROVED EQUAL. IT SHALL BE THE CONTRACTORS RESPONSIBILITY TO VERIFY THAT ANY CLEARANCE REQUIREMENTS ARE MET FOR ANY SUBSTITUTIONS, 2" X 2" X 3/16" STEEL ANGLE WITH 3/8" BOLTS TO BASE OF UNIT AND 3/8" SLEEVE ANCHOR INTO CONCRETE PAD. (TYPICAL TWO SIDES), 4", 3000 psi, CONCRETE PAD</t>
  </si>
  <si>
    <t>CU #4, CONDENSING UNIT, MANUFACTURER &amp; MODEL NO. CARRIER – 24ABB360A006. TOTAL CAPACITY 58,270. SENSIBLE CAPACITY 43,360. COMPRESSOR RUNNING LOAD AMPS 7.8. FAN FULL LOAD AMPS 0.7. VOLTAGE 480V/3Ø. MAX. OVERCURRENT PROTECTION 15A. SEASONAL ENERGY EFFICIENCY RATIO 13.0. EVAPORATOR COIL UNIT MANUFACTURER &amp; MODEL NO. CARRIER – CAPMP6121ALA.
NOTES: ALL RATINGS ARE AT ARI ENTERING CONDITIONS UNLESS OTHERWISE NOTED. PROVIDE VIBRATION ISOLATION FOR UNITS. EXTERNAL STATIC PRESSURE DOES NOT INCLUDE COIL OR FILTER PRESSURE DROP. CONTRACTOR MAY SUBSTITUTE MANUFACTURER FOR APPROVED EQUAL. IT SHALL BE THE CONTRACTORS RESPONSIBILITY TO VERIFY THAT ANY CLEARANCE REQUIREMENTS ARE MET FOR ANY SUBSTITUTIONS, 2" X 2" X 3/16" STEEL ANGLE WITH 3/8" BOLTS TO BASE OF UNIT AND 3/8" SLEEVE ANCHOR INTO CONCRETE PAD. (TYPICAL TWO SIDES), 4", 3000 psi, CONCRETE PAD</t>
  </si>
  <si>
    <t>CU #5: CONDENSING UNIT, MANUFACTURER &amp; MODEL NO. CARRIER – 24ABB336A006. TOTAL CAPACITY 33,920. SENSIBLE CAPACITY 27,710. COMPRESSOR RUNNING LOAD AMPS 5.6. FAN FULL LOAD AMPS 0.7. VOLTAGE 480V/3Ø. MAX. OVERCURRENT PROTECTION 15A. SEASONAL ENERGY EFFICIENCY RATIO 13.0. EVAPORATOR COIL UNIT MANUFACTURER &amp; MODEL NO. CARRIER – CAPMP3617ALA.
NOTES: ALL RATINGS ARE AT ARI ENTERING CONDITIONS UNLESS OTHERWISE NOTED. PROVIDE VIBRATION ISOLATION FOR UNITS. EXTERNAL STATIC PRESSURE DOES NOT INCLUDE COIL OR FILTER PRESSURE DROP. CONTRACTOR MAY SUBSTITUTE MANUFACTURER FOR APPROVED EQUAL. IT SHALL BE THE CONTRACTORS RESPONSIBILITY TO VERIFY THAT ANY CLEARANCE REQUIREMENTS ARE MET FOR ANY SUBSTITUTIONS, 2" X 2" X 3/16" STEEL ANGLE WITH 3/8" BOLTS TO BASE OF UNIT AND 3/8" SLEEVE ANCHOR INTO CONCRETE PAD. (TYPICAL TWO SIDES), 4", 3000 psi, CONCRETE PAD</t>
  </si>
  <si>
    <t>Wall Heater, DAYTON GRAINGER Stock No. 2HAC9, Two Speed Heater 11.5/750 Kw @ 277 V/ 1 Phase</t>
  </si>
  <si>
    <t>AIR DEVICES</t>
  </si>
  <si>
    <t>1, Return Air Grille,  METALAIRE MODEL RH-RC-1 - ALUMINUM, Neck Size - 8", Face Size: 24"X24", 200 Cfm, 24x24 T-Bar Lay-In Tile Ceiling_x000D_
Notes:_x000D_
1.) Louver Face. Standard White Finish._x000D_
2.) Provide Metalaire Model Deep Al - Square To Round Deep Transition, Aluminum Sized To Round Size Shown.</t>
  </si>
  <si>
    <t>2, Return Air Grille,  METALAIRE MODEL RH-RC-1 - ALUMINUM, Neck Size - 10", Face Size: 24"X24", 250 Cfm, 24x24 T-Bar Lay-In Tile Ceiling_x000D_
Notes:_x000D_
1.) Louver Face. Standard White Finish._x000D_
2.) Provide Metalaire Model Deep Al - Square To Round Deep Transition, Aluminum Sized To Round Size Shown.</t>
  </si>
  <si>
    <t xml:space="preserve">2, Return Air Grille,  METALAIRE MODEL RH-RC-1 - ALUMINUM, Neck Size - 10", Face Size: 24"X24", 265 Cfm, 24x24 T-Bar Lay-In Tile Ceiling_x000D_
Notes:_x000D_
1.) Louver Face. Standard White Finish._x000D_
2.) Provide Metalaire Model Deep Al - Square To Round Deep Transition, Aluminum Sized To Round Size Shown._x000D_
</t>
  </si>
  <si>
    <t xml:space="preserve">2, Return Air Grille,  METALAIRE MODEL RH-RC-1 - ALUMINUM, Neck Size - 10", Face Size: 24"X24", 350 Cfm, 24x24 T-Bar Lay-In Tile Ceiling_x000D_
Notes:_x000D_
1.) Louver Face. Standard White Finish._x000D_
2.) Provide Metalaire Model Deep Al - Square To Round Deep Transition, Aluminum Sized To Round Size Shown._x000D_
</t>
  </si>
  <si>
    <t xml:space="preserve">3, Return Air Grille,  METALAIRE MODEL RH-RC-1 - ALUMINUM, Neck Size - 12", Face Size: 24"X24", 425 Cfm, 24x24 T-Bar Lay-In Tile Ceiling_x000D_
Notes:_x000D_
1.) Louver Face. Standard White Finish._x000D_
2.) Provide Metalaire Model Deep Al - Square To Round Deep Transition, Aluminum Sized To Round Size Shown._x000D_
</t>
  </si>
  <si>
    <t xml:space="preserve">3, Return Air Grille,  METALAIRE MODEL RH-RC-1 - ALUMINUM, Neck Size - 12", Face Size: 24"X24", 450 Cfm, 24x24 T-Bar Lay-In Tile Ceiling_x000D_
Notes:_x000D_
1.) Louver Face. Standard White Finish._x000D_
2.) Provide Metalaire Model Deep Al - Square To Round Deep Transition, Aluminum Sized To Round Size Shown._x000D_
</t>
  </si>
  <si>
    <t xml:space="preserve">3, Return Air Grille,  METALAIRE MODEL RH-RC-1 - ALUMINUM, Neck Size - 12", Face Size: 24"X24", 520 Cfm, 24x24 T-Bar Lay-In Tile Ceiling_x000D_
Notes:_x000D_
1.) Louver Face. Standard White Finish._x000D_
2.) Provide Metalaire Model Deep Al - Square To Round Deep Transition, Aluminum Sized To Round Size Shown._x000D_
</t>
  </si>
  <si>
    <t>5, Return Air Grille,  METALAIRE MODEL CC5-6 - ALUMINUM, Neck Size - 10"X10", Face Size: 12"X12", 300 Cfm, 24x24 T-Bar Lay-In Tile Ceiling_x000D_
Notes:_x000D_
1.) Louver Face. Standard White Finish._x000D_
2.) Provide Metalaire Model Deep Al - Square To Round Deep Transition, Aluminum Sized To Round Size Shown.</t>
  </si>
  <si>
    <t>5, Return Air Grille,  METALAIRE MODEL CC5-6 - ALUMINUM, Neck Size - 10"X10", Face Size: 12"X12", 375 Cfm, 24x24 T-Bar Lay-In Tile Ceiling
Notes:
1.) Louver Face. Standard White Finish.
2.) Provide Metalaire Model Deep Al - Square To Round Deep Transition, Aluminum Sized To Round Size Shown.</t>
  </si>
  <si>
    <t>5, Transfer Air Grille,  METALAIRE MODEL CC5-6 - ALUMINUM, Neck Size - 10"X10", Face Size: 12"X12", 90 Cfm_x000D_
Notes:_x000D_
1.) Louver Face. Standard White Finish.</t>
  </si>
  <si>
    <t>5, Transfer Air Grille,  METALAIRE MODEL CC5-6 - ALUMINUM, Neck Size - 14"X8", Face Size: 16"X10", 200 Cfm_x000D_
Notes:_x000D_
1.) Eggcrate Cube Core 1/2"x1/2"x1/2". Standard White Finish</t>
  </si>
  <si>
    <t>7, Return Air Grille,  METALAIRE MODEL CC5-6 - ALUMINUM, Neck Size - 48"x30", Face Size: 58"X40" (Face Size - Assumed), 4675 Cfm, Surface Mount (Sidewall)_x000D_
Notes:_x000D_
1. Eggcrate Cube Core 1/2"X1/2"X1/2". Standard White Finish.</t>
  </si>
  <si>
    <t>8, Return Air Grille,  METALAIRE MODEL CC5-6 - ALUMINUM, Neck Size - 48"x40", Face Size: 58"X42" (Face Size - Assumed), 6000 Cfm, Surface Mount (Sidewall)_x000D_
Notes:_x000D_
1. Eggcrate Cube Core 1/2"X1/2"X1/2". Standard White Finish.</t>
  </si>
  <si>
    <t>A, Supply Air Diffuser, METALAIRE MODEL 4004P-1-AS - ALUMINUM, Neck Size: 16"x6", Face Size: 18"x8", 235 Cfm, Direct Spiral Duct Mounted Register, With Extractor Adjustment Rod_x000D_
Notes:_x000D_
1) Direct Spiral Duct Mounted Register With Double Deflection Grille Vertical Front Blades And Clear Mill Finish. Registershall Also Be Provided With Optional Adjustable Air Scoop._x000D_
2) Supply Air Register Shall Be Mounted At A 22° Angle Towards Floor. Register Shall Be Providedwith Opposed Blade Damper._x000D_
3) Provide With Opposed Blade Damper</t>
  </si>
  <si>
    <t>A, Supply Air Diffuser, METALAIRE MODEL 4004P-1-AS - ALUMINUM, Neck Size: 16"x6", Face Size: 18"x8", 235 Cfm, Direct Spiral Duct Mounted Register, With Extractor Adjustment Rod_x000D_
Notes:_x000D_
1) Direct Spiral Duct Mounted Register With Double Deflection Grille Vertical Front Blades And Clear Mill Finish. Registershall Also Be Provided With Optional Adjustable Air Scoop._x000D_
2) Supply Air Register Shall Be Mounted On Bottom Of Duct At A 0° Angle Towards Floor. Registershall Be Provided With Opposed Blade Damper._x000D_
3) Provide With Opposed Blade Damper</t>
  </si>
  <si>
    <t>A, Supply Air Diffuser, METALAIRE MODEL 4004P-1-AS - ALUMINUM, Neck Size: 16"x6", Face Size: 18"x8", 260 Cfm, Direct Spiral Duct Mounted Register, With Extractor Adjustment Rod_x000D_
Notes:_x000D_
1) Direct Spiral Duct Mounted Register With Double Deflection Grille Vertical Front Blades And Clear Mill Finish. Registershall Also Be Provided With Optional Adjustable Air Scoop._x000D_
2) Supply Air Register Shall Be Mounted On Bottom Of Duct At A 0° Angle Towards Floor. Registershall Be Provided With Opposed Blade Damper._x000D_
3) Provide With Opposed Blade Damper</t>
  </si>
  <si>
    <t>B, Supply Air Diffuser, METALAIRE MODEL 4004P-1-AS - ALUMINUM, Neck Size: 30"x6", Face Size: 32"x8" (Face Size - Assumed), 450 Cfm, Direct Spiral Duct Mounted Register, With Extractor Adjustment Rod_x000D_
Notes:_x000D_
1) Direct Spiral Duct Mounted Register With Double Deflection Grille Vertical Front Blades And Clear Mill Finish. Registershall Also Be Provided With Optional Adjustable Air Scoop._x000D_
2) Supply Air Register Shall Be Mounted On Bottom Of Duct At A 0° Angle Towards Floor. Registershall Be Provided With Opposed Blade Damper._x000D_
3) Provide With Opposed Blade Damper</t>
  </si>
  <si>
    <t>B, Supply Air Diffuser, METALAIRE MODEL 4004P-1-AS - ALUMINUM, Neck Size: 30"x6", Face Size: 32"x8" (Face Size - Assumed), 500 Cfm, Direct Spiral Duct Mounted Register, With Extractor Adjustment Rod_x000D_
Notes:_x000D_
1) Direct Spiral Duct Mounted Register With Double Deflection Grille Vertical Front Blades And Clear Mill Finish. Registershall Also Be Provided With Optional Adjustable Air Scoop._x000D_
2) Supply Air Register Shall Be Mounted On Bottom Of Duct At A 0° Angle Towards Floor. Registershall Be Provided With Opposed Blade Damper._x000D_
3) Provide With Opposed Blade Damper</t>
  </si>
  <si>
    <t>C, Supply Air Diffuser, METALAIRE MODEL 4004P-1-AS - ALUMINUM, Neck Size: 36"x6", Face Size: 38"x8" (Face Size - Assumed), 600 Cfm, Direct Spiral Duct Mounted Register, With Extractor Adjustment Rod_x000D_
Notes:_x000D_
1) Direct Spiral Duct Mounted Register With Double Deflection Grille Vertical Front Blades And Clear Mill Finish. Registershall Also Be Provided With Optional Adjustable Air Scoop._x000D_
2) Supply Air Register Shall Be Mounted On Bottom Of Duct At A 0° Angle Towards Floor. Registershall Be Provided With Opposed Blade Damper._x000D_
3) Provide With Opposed Blade Damper</t>
  </si>
  <si>
    <t>D, Supply Air Diffuser, METALAIRE MODEL 4004P-1-AS - ALUMINUM, Neck Size: 30"x8", Face Size: 36"x12", 700 Cfm, Direct Spiral Duct Mounted Register, With Extractor Adjustment Rod_x000D_
Notes:_x000D_
1) Direct Spiral Duct Mounted Register With Double Deflection Grille Vertical Front Blades And Clear Mill Finish. Registershall Also Be Provided With Optional Adjustable Air Scoop._x000D_
2) Supply Air Register Shall Be Mounted At A 22° Angle Towards Floor. Register Shall Be Providedwith Opposed Blade Damper._x000D_
3) Provide With Opposed Blade Damper</t>
  </si>
  <si>
    <t>E, Supply Air Diffuser, METALAIRE MODEL V4002-AF-1-OBD - ALUMINUM, Neck Size: 14"x6", Face Size: 12"x12", 50 Cfm, Surface Mount (Sizewall)_x000D_
Notes:_x000D_
Double Deflection Register - Vertical Front Blades - With Opposed Blade Damper Standard Finish White.</t>
  </si>
  <si>
    <t>F, Supply Air Diffuser, METALAIRE MODEL 5700-1 AL - ALUMINUM, Neck Size - 6", Face Size: 24"X24", 75 Cfm, 24"X24" Surface Mount_x000D_
Notes:_x000D_
1.) OBDA - ALUMINUM OPPOSED BLADE DAMPER. STANDARD FINISH WHITE.</t>
  </si>
  <si>
    <t>F, Supply Air Diffuser, METALAIRE MODEL 5700-1 AL - ALUMINUM, Neck Size - 7", Face Size: 24"X24", 125 Cfm, 24"X24" Surface Mount_x000D_
Notes:_x000D_
1.) OBDA - ALUMINUM OPPOSED BLADE DAMPER. STANDARD FINISH WHITE.</t>
  </si>
  <si>
    <t>H, Supply Air Diffuser, METALAIRE MODEL 5700-6P AL - ALUMINUM, Neck Size - 8", Face Size: 24"X24", 200 Cfm, 24x24 T-Bar Lay-In Tile_x000D_
Notes:_x000D_
1.) OBDA - ALUMINUM OPPOSED BLADE DAMPER. STANDARD FINISH WHITE.</t>
  </si>
  <si>
    <t>H, Supply Air Diffuser, METALAIRE MODEL 5700-6P AL - ALUMINUM, Neck Size - 8", Face Size: 24"X24", 210 Cfm, 24x24 T-Bar Lay-In Tile_x000D_
Notes:_x000D_
1.) OBDA - ALUMINUM OPPOSED BLADE DAMPER. STANDARD FINISH WHITE.</t>
  </si>
  <si>
    <t>I, Supply Air Diffuser, METALAIRE MODEL 5700-6P AL - ALUMINUM, Neck Size - 10", Face Size: 24"X24", 250 Cfm, 24x24 T-Bar Lay-In Tile_x000D_
Notes:_x000D_
1.) OBDA - ALUMINUM OPPOSED BLADE DAMPER. STANDARD FINISH WHITE.</t>
  </si>
  <si>
    <t>I, Supply Air Diffuser, METALAIRE MODEL 5700-6P AL - ALUMINUM, Neck Size - 10", Face Size: 24"X24", 260 Cfm, 24x24 T-Bar Lay-In Tile_x000D_
Notes:_x000D_
1.) OBDA - ALUMINUM OPPOSED BLADE DAMPER. STANDARD FINISH WHITE.</t>
  </si>
  <si>
    <t>J, Supply Air Diffuser, METALAIRE MODEL 5700-6P AL - ALUMINUM, Neck Size - 10", Face Size: 24"X24", 315 Cfm, 24x24 T-Bar Lay-In Tile_x000D_
Notes:_x000D_
1.) OBDA - ALUMINUM OPPOSED BLADE DAMPER. STANDARD FINISH WHITE.</t>
  </si>
  <si>
    <t>J, Supply Air Diffuser, METALAIRE MODEL 5700-6P AL - ALUMINUM, Neck Size - 12", Face Size: 24"X24", 265 Cfm, 24x24 T-Bar Lay-In Tile_x000D_
Notes:_x000D_
1.) OBDA - ALUMINUM OPPOSED BLADE DAMPER. STANDARD FINISH WHITE.</t>
  </si>
  <si>
    <t>J, Supply Air Diffuser, METALAIRE MODEL 5700-6P AL - ALUMINUM, Neck Size - 12", Face Size: 24"X24", 425 Cfm, 24x24 T-Bar Lay-In Tile_x000D_
Notes:_x000D_
1.) OBDA - ALUMINUM OPPOSED BLADE DAMPER. STANDARD FINISH WHITE.</t>
  </si>
  <si>
    <t>J, Supply Air Diffuser, METALAIRE MODEL 5700-6P AL - ALUMINUM, Neck Size - 12", Face Size: 24"X24", 450 Cfm, 24x24 T-Bar Lay-In Tile_x000D_
Notes:_x000D_
1.) OBDA - ALUMINUM OPPOSED BLADE DAMPER. STANDARD FINISH WHITE.</t>
  </si>
  <si>
    <t>K, Supply Air Diffuser, METALAIRE MODEL V4002-AF-1OBD - ALUMINUM, Neck Size: 18"x10", Face Size: 20"x12", 300 Cfm, Surface Mounted (Sidewall), With Extractor Adjustment Rod_x000D_
Notes:_x000D_
1) Double Deflection Register - Vertical Front Blades - With Opposed Blade Damper. Standard Finish White._x000D_
3) Provide With Opposed Blade Damper</t>
  </si>
  <si>
    <t>12"x12" Door Grille</t>
  </si>
  <si>
    <t>DUCT ACCESSORIES</t>
  </si>
  <si>
    <t>3" Combustion Air Pipe - PVC</t>
  </si>
  <si>
    <t>LF</t>
  </si>
  <si>
    <t>CO2, HONEYWELL C7263</t>
  </si>
  <si>
    <t>Duct Smoke Detector W/ Access Panel</t>
  </si>
  <si>
    <t>S, Remote Sensor Wired Back To Ahu #4 Thermostat. Rtu #4 Is Utilizing (3) Remote Sensors Toproduce An Average Temperature Back To Thermostat. Remote Sensor Shall Be "Carrier"  NSA-HH/CP-R2-C.</t>
  </si>
  <si>
    <t>T, Programable Thermostat</t>
  </si>
  <si>
    <t>Control Wire</t>
  </si>
  <si>
    <t>DUCTING</t>
  </si>
  <si>
    <t>Flex Duct Shall Be "THERMOFLEX" With A Minimum 4.2 R Value. Orapproved Equal And Shall Have Equivalent Insulation</t>
  </si>
  <si>
    <t>Flexible Air Duct - 6"</t>
  </si>
  <si>
    <t>Flexible Air Duct - 7"</t>
  </si>
  <si>
    <t>Flexible Air Duct - 8"</t>
  </si>
  <si>
    <t>Flexible Air Duct - 10"</t>
  </si>
  <si>
    <t>Flexible Air Duct - 12"</t>
  </si>
  <si>
    <t>Flexible Air Duct - 14"</t>
  </si>
  <si>
    <t>Galvanized Sheet Steel</t>
  </si>
  <si>
    <t>Exhaust Air Duct - 10"x8"</t>
  </si>
  <si>
    <t>Return Air Duct - 12"X6"</t>
  </si>
  <si>
    <t>Return Air Duct - 12"X8"</t>
  </si>
  <si>
    <t>Return Air Duct - 12"X9"</t>
  </si>
  <si>
    <t>Return Air Duct - 12"X12"</t>
  </si>
  <si>
    <t>Return Air Duct - 14"X12"</t>
  </si>
  <si>
    <t>Return Air Duct - 18"X12"</t>
  </si>
  <si>
    <t>Return Air Duct - 20"X12"</t>
  </si>
  <si>
    <t>Return Air Duct - 24"X12"</t>
  </si>
  <si>
    <t>Return Air Duct - 24"X24" (Exterior)</t>
  </si>
  <si>
    <t>Return Air Duct - 32"X18"</t>
  </si>
  <si>
    <t>Return Air Duct - 32"X22"</t>
  </si>
  <si>
    <t>Return Air Duct - 32"X22" (Exterior)</t>
  </si>
  <si>
    <t>Return Air Duct - 32"X30"</t>
  </si>
  <si>
    <t>Supply Air Duct - 8"X8"</t>
  </si>
  <si>
    <t>Supply Air Duct - 8"X12"</t>
  </si>
  <si>
    <t>Supply Air Duct - 9"X12"</t>
  </si>
  <si>
    <t>Supply Air Duct - 12"X12"</t>
  </si>
  <si>
    <t>Supply Air Duct - 14"X12"</t>
  </si>
  <si>
    <t>Supply Air Duct - 16"X16"</t>
  </si>
  <si>
    <t>Supply Air Duct - 18"X12"</t>
  </si>
  <si>
    <t>Supply Air Duct - 24"X12"</t>
  </si>
  <si>
    <t>Supply Air Duct - 26"X24"</t>
  </si>
  <si>
    <t>Supply Air Duct - 30"X22" (Exterior)</t>
  </si>
  <si>
    <t>Supply Air Duct - 32"X22"</t>
  </si>
  <si>
    <t>Supply Air Duct - 32"X30"</t>
  </si>
  <si>
    <t>Supply Air Duct - 32"X30" (Exterior)</t>
  </si>
  <si>
    <t>Supply Air Duct - 36"X12" (Exterior)</t>
  </si>
  <si>
    <t>Transfer Air Duct - 10"X8"</t>
  </si>
  <si>
    <t>All Exposed Exposed Spiral Ductwork Shall Be "HAMLIN" Double Wall Insulated Galvanized Steel Spiral Duct. Spiral duct Shall Be Paintable "PAINT GRIP" Spiral Duct Or Approved Equal.</t>
  </si>
  <si>
    <t>Return Air Duct - 28" (Exposed Insulated Spiral Duct)</t>
  </si>
  <si>
    <t>Supply Air Duct - 8" (Exposed Insulated Spiral Duct)</t>
  </si>
  <si>
    <t>Supply Air Duct - 12" (Exposed Insulated Spiral Duct)</t>
  </si>
  <si>
    <t>Supply Air Duct - 14" (Exposed Insulated Spiral Duct)</t>
  </si>
  <si>
    <t>Supply Air Duct - 16" (Exposed Insulated Spiral Duct)</t>
  </si>
  <si>
    <t>Supply Air Duct - 18" (Exposed Insulated Spiral Duct)</t>
  </si>
  <si>
    <t>Supply Air Duct - 20" (Exposed Insulated Spiral Duct)</t>
  </si>
  <si>
    <t>Supply Air Duct - 22" (Exposed Insulated Spiral Duct)</t>
  </si>
  <si>
    <t>Supply Air Duct - 24" (Exposed Insulated Spiral Duct)</t>
  </si>
  <si>
    <t>Supply Air Duct - 28" (Exposed Insulated Spiral Duct)</t>
  </si>
  <si>
    <t>Exhaust Air Duct - 6"</t>
  </si>
  <si>
    <t>Exhaust Air Duct - 8"</t>
  </si>
  <si>
    <t>Exhaust Air Duct - 10"</t>
  </si>
  <si>
    <t>Return Air Duct - 8"</t>
  </si>
  <si>
    <t>Return Air Duct - 10"</t>
  </si>
  <si>
    <t>Return Air Duct - 12"</t>
  </si>
  <si>
    <t>Return Air Duct - 13"</t>
  </si>
  <si>
    <t>Return Air Duct - 14"</t>
  </si>
  <si>
    <t>Supply Air Duct - 6"</t>
  </si>
  <si>
    <t>Supply Air Duct - 7"</t>
  </si>
  <si>
    <t>Supply Air Duct - 8"</t>
  </si>
  <si>
    <t>Supply Air Duct - 10"</t>
  </si>
  <si>
    <t>Supply Air Duct - 12"</t>
  </si>
  <si>
    <t>RECTANGULAR DUCT FITTINGS</t>
  </si>
  <si>
    <t>Branch Takeoff - 12"x6" W/ Volume Damper</t>
  </si>
  <si>
    <t>Branch Takeoff - 12"x8" W/ Volume Damper</t>
  </si>
  <si>
    <t>Branch Takeoff - 26"x24" W/ Volume Damper</t>
  </si>
  <si>
    <t>Duct Cap - 8"x8"</t>
  </si>
  <si>
    <t>Duct Cap - 14"x12"</t>
  </si>
  <si>
    <t>Duct Cap - 20"x12"</t>
  </si>
  <si>
    <t>Duct Cap - 32"x30"</t>
  </si>
  <si>
    <t>Elbow 45 Deg - 32"x18"</t>
  </si>
  <si>
    <t>Elbow 90 Deg - 10"x8"</t>
  </si>
  <si>
    <t>Elbow 90 Deg - 12"x6"</t>
  </si>
  <si>
    <t>Elbow 90 Deg - 12"x8"</t>
  </si>
  <si>
    <t>Elbow 90 Deg - 12"x12"</t>
  </si>
  <si>
    <t>Elbow 90 Deg - 16"x16"</t>
  </si>
  <si>
    <t>Elbow 90 Deg - 24"x12"</t>
  </si>
  <si>
    <t>Elbow 90 Deg - 32"x18"</t>
  </si>
  <si>
    <t>Elbow 90 Deg - 32"x22"</t>
  </si>
  <si>
    <t>Elbow 90 Deg - 32"x30"</t>
  </si>
  <si>
    <t>Flexible Connector - 10"x8" (Assumed)</t>
  </si>
  <si>
    <t>Flexible Connector - 18"x12" (Assumed)</t>
  </si>
  <si>
    <t>Flexible Connector - 20"x12" (Assumed)</t>
  </si>
  <si>
    <t>Flexible Connector - 24"x12" (Assumed)</t>
  </si>
  <si>
    <t>Flexible Connector - 24"x24" (Assumed)</t>
  </si>
  <si>
    <t>Flexible Connector - 30"x22" (Assumed)</t>
  </si>
  <si>
    <t>Flexible Connector - 32"x22" (Assumed)</t>
  </si>
  <si>
    <t>Flexible Connector - 36"x12" (Assumed)</t>
  </si>
  <si>
    <t>Reducer - 8"x12" / 8"x8"</t>
  </si>
  <si>
    <t>Reducer - 12"x12" / 9"x12"</t>
  </si>
  <si>
    <t>Reducer - 14"x8" / 10"x8"</t>
  </si>
  <si>
    <t>Reducer - 14"x12" / 9"x12"</t>
  </si>
  <si>
    <t>Reducer - 18"x12" / 12"x12"</t>
  </si>
  <si>
    <t>Reducer - 18"x12" / 14"x12"</t>
  </si>
  <si>
    <t>Reducer - 24"x12" / 12"x12"</t>
  </si>
  <si>
    <t>Reducer - 24"x12" / 14"x12"</t>
  </si>
  <si>
    <t>Reducer - 24"x12" / 18"x12"</t>
  </si>
  <si>
    <t>Reducer - 26"x24" / 16"x16"</t>
  </si>
  <si>
    <t>Reducer - 32"x30" / 24"x24"</t>
  </si>
  <si>
    <t>Reducer - 32"x30" / 30"x22"</t>
  </si>
  <si>
    <t>Reducer - 32"x30" / 32"x18"</t>
  </si>
  <si>
    <t>Reducer - 36"x12" / 32"x22"</t>
  </si>
  <si>
    <t>Reducer - 48"x30" / 32"x18"</t>
  </si>
  <si>
    <t>Roof Cap With Bird Screen - 10"X8"</t>
  </si>
  <si>
    <t>Takeoff - 18"x12"</t>
  </si>
  <si>
    <t>Takeoff - 24"x12"</t>
  </si>
  <si>
    <t>Takeoff - 32"x18"</t>
  </si>
  <si>
    <t>Transition - 9"x12" / 10"</t>
  </si>
  <si>
    <t>Transition - 12"x12" / 10"</t>
  </si>
  <si>
    <t>Transition - 14"x12" / 12"</t>
  </si>
  <si>
    <t>Transition - 16"x16" / 16"</t>
  </si>
  <si>
    <t>Transition - 20"x12" / 10"</t>
  </si>
  <si>
    <t>Transition - 32"x22" / 28"</t>
  </si>
  <si>
    <t>Transition - 48"x40" / 28"</t>
  </si>
  <si>
    <t>VCD - 9"X12", Volume Control Damper</t>
  </si>
  <si>
    <t>VCD - 16" X16", Volume Control Damper</t>
  </si>
  <si>
    <t>45 Deg Flared Tap - 8"</t>
  </si>
  <si>
    <t>45 Deg Flared Tap - 10"</t>
  </si>
  <si>
    <t>45 Deg Flared Tap - 20"</t>
  </si>
  <si>
    <t>45 Deg Flared Tap - 22"</t>
  </si>
  <si>
    <t>Duct Cap - 12"</t>
  </si>
  <si>
    <t>Duct Cap - 14"</t>
  </si>
  <si>
    <t>Elbow 45 Deg - 12"</t>
  </si>
  <si>
    <t>Elbow 45 Deg - 14"</t>
  </si>
  <si>
    <t>Elbow 45 Deg - 16"</t>
  </si>
  <si>
    <t>Elbow 45 Deg - 20"</t>
  </si>
  <si>
    <t>Elbow 90 Deg - 8"</t>
  </si>
  <si>
    <t>Elbow 90 Deg - 10"</t>
  </si>
  <si>
    <t>Elbow 90 Deg - 16"</t>
  </si>
  <si>
    <t>Elbow 90 Deg - 22"</t>
  </si>
  <si>
    <t>Elbow 90 Deg - 28"</t>
  </si>
  <si>
    <t>Reducer - 12" / 8"</t>
  </si>
  <si>
    <t>Reducer - 14" / 12"</t>
  </si>
  <si>
    <t>Reducer - 16" / 12"</t>
  </si>
  <si>
    <t>Reducer - 16" / 14"</t>
  </si>
  <si>
    <t>Reducer - 18" / 16"</t>
  </si>
  <si>
    <t>Reducer - 20" / 16"</t>
  </si>
  <si>
    <t>Reducer - 22" / 20"</t>
  </si>
  <si>
    <t>Reducer - 24" / 16"</t>
  </si>
  <si>
    <t>Reducer - 28" / 24"</t>
  </si>
  <si>
    <t>Takeoff - 16"x6"</t>
  </si>
  <si>
    <t>Takeoff - 18"x10"</t>
  </si>
  <si>
    <t>Takeoff - 30"x6"</t>
  </si>
  <si>
    <t>Takeoff - 30"x8"</t>
  </si>
  <si>
    <t>Takeoff - 36"x6"</t>
  </si>
  <si>
    <t>VCD - 8", Volume Control Damper, "RUSKIN" MODEL MDRS25, Round Manual Balancing Damper. Controlshaft/Hand Quadrant Shall Be 3/8" Squareaxle Shaft Extending Beyond Frame Throughfactory Mounted, Locking Handle Quadrant.Handle Shall Be Visible And Easily Accessible.</t>
  </si>
  <si>
    <t>VCD - 10", Volume Control Damper, "RUSKIN" MODEL MDRS25, Round Manual Balancing Damper. Controlshaft/Hand Quadrant Shall Be 3/8" Squareaxle Shaft Extending Beyond Frame Throughfactory Mounted, Locking Handle Quadrant.Handle Shall Be Visible And Easily Accessible.</t>
  </si>
  <si>
    <t>VCD - 16", Volume Control Damper, "RUSKIN" MODEL MDRS25, Round Manual Balancing Damper. Controlshaft/Hand Quadrant Shall Be 3/8" Squareaxle Shaft Extending Beyond Frame Throughfactory Mounted, Locking Handle Quadrant.Handle Shall Be Visible And Easily Accessible.</t>
  </si>
  <si>
    <t>VCD - 20", Volume Control Damper, "RUSKIN" MODEL MDRS25, Round Manual Balancing Damper. Controlshaft/Hand Quadrant Shall Be 3/8" Squareaxle Shaft Extending Beyond Frame Throughfactory Mounted, Locking Handle Quadrant.Handle Shall Be Visible And Easily Accessible.</t>
  </si>
  <si>
    <t>VCD - 22", Volume Control Damper, "RUSKIN" MODEL MDRS25, Round Manual Balancing Damper. Controlshaft/Hand Quadrant Shall Be 3/8" Squareaxle Shaft Extending Beyond Frame Throughfactory Mounted, Locking Handle Quadrant.Handle Shall Be Visible And Easily Accessible.</t>
  </si>
  <si>
    <t>ROUND DUCT FITTINGS</t>
  </si>
  <si>
    <t>45 Deg Flared Tap - 6"</t>
  </si>
  <si>
    <t>45 Deg Flared Tap With VCD - 6", (VCD, Volume Control Damper, "RUSKIN" MODEL MDRS25, Round Manual Balancing Damper. Controlshaft/Hand Quadrant Shall Be 3/8" Squareaxle Shaft Extending Beyond Frame Throughfactory Mounted, Locking Handle Quadrant.Handle Shall Be Visible And Easily Accessible.VCD, Volume Control Damper, "RUSKIN" MODEL MDRS25, Round Manual Balancing Damper. Controlshaft/Hand Quadrant Shall Be 3/8" Squareaxle Shaft Extending Beyond Frame Throughfactory Mounted, Locking Handle Quadrant.Handle Shall Be Visible And Easily Accessible.)</t>
  </si>
  <si>
    <t>45 Deg Flared Tap With VCD - 7", (VCD, Volume Control Damper, "RUSKIN" MODEL MDRS25, Round Manual Balancing Damper. Controlshaft/Hand Quadrant Shall Be 3/8" Squareaxle Shaft Extending Beyond Frame Throughfactory Mounted, Locking Handle Quadrant.Handle Shall Be Visible And Easily Accessible.VCD, Volume Control Damper, "RUSKIN" MODEL MDRS25, Round Manual Balancing Damper. Controlshaft/Hand Quadrant Shall Be 3/8" Squareaxle Shaft Extending Beyond Frame Throughfactory Mounted, Locking Handle Quadrant.Handle Shall Be Visible And Easily Accessible.)</t>
  </si>
  <si>
    <t>45 Deg Flared Tap With VCD - 8", (VCD, Volume Control Damper, "RUSKIN" MODEL MDRS25, Round Manual Balancing Damper. Controlshaft/Hand Quadrant Shall Be 3/8" Squareaxle Shaft Extending Beyond Frame Throughfactory Mounted, Locking Handle Quadrant.Handle Shall Be Visible And Easily Accessible.VCD, Volume Control Damper, "RUSKIN" MODEL MDRS25, Round Manual Balancing Damper. Controlshaft/Hand Quadrant Shall Be 3/8" Squareaxle Shaft Extending Beyond Frame Throughfactory Mounted, Locking Handle Quadrant.Handle Shall Be Visible And Easily Accessible.)</t>
  </si>
  <si>
    <t>45 Deg Flared Tap With VCD - 10", (VCD, Volume Control Damper, "RUSKIN" MODEL MDRS25, Round Manual Balancing Damper. Controlshaft/Hand Quadrant Shall Be 3/8" Squareaxle Shaft Extending Beyond Frame Throughfactory Mounted, Locking Handle Quadrant.Handle Shall Be Visible And Easily Accessible.VCD, Volume Control Damper, "RUSKIN" MODEL MDRS25, Round Manual Balancing Damper. Controlshaft/Hand Quadrant Shall Be 3/8" Squareaxle Shaft Extending Beyond Frame Throughfactory Mounted, Locking Handle Quadrant.Handle Shall Be Visible And Easily Accessible.)</t>
  </si>
  <si>
    <t>45 Deg Flared Tap With VCD - 12", (VCD, Volume Control Damper, "RUSKIN" MODEL MDRS25, Round Manual Balancing Damper. Controlshaft/Hand Quadrant Shall Be 3/8" Squareaxle Shaft Extending Beyond Frame Throughfactory Mounted, Locking Handle Quadrant.Handle Shall Be Visible And Easily Accessible.VCD, Volume Control Damper, "RUSKIN" MODEL MDRS25, Round Manual Balancing Damper. Controlshaft/Hand Quadrant Shall Be 3/8" Squareaxle Shaft Extending Beyond Frame Throughfactory Mounted, Locking Handle Quadrant.Handle Shall Be Visible And Easily Accessible.)</t>
  </si>
  <si>
    <t>45 Deg Flared Tap With VCD - 14", (VCD, Volume Control Damper, "RUSKIN" MODEL MDRS25, Round Manual Balancing Damper. Controlshaft/Hand Quadrant Shall Be 3/8" Squareaxle Shaft Extending Beyond Frame Throughfactory Mounted, Locking Handle Quadrant.Handle Shall Be Visible And Easily Accessible.VCD, Volume Control Damper, "RUSKIN" MODEL MDRS25, Round Manual Balancing Damper. Controlshaft/Hand Quadrant Shall Be 3/8" Squareaxle Shaft Extending Beyond Frame Throughfactory Mounted, Locking Handle Quadrant.Handle Shall Be Visible And Easily Accessible.)</t>
  </si>
  <si>
    <t>Elbow 90 Deg - 6"</t>
  </si>
  <si>
    <t>Elbow 90 Deg - 13"</t>
  </si>
  <si>
    <t>Flexible Connector - 6" (Assumed)</t>
  </si>
  <si>
    <t>Flexible Connector - 8" (Assumed)</t>
  </si>
  <si>
    <t>Reducer - 10" / 6"</t>
  </si>
  <si>
    <t>Reducer - 13" / 12"</t>
  </si>
  <si>
    <t>Reducer 15" / 8"</t>
  </si>
  <si>
    <t>Reducer 15" / 13"</t>
  </si>
  <si>
    <t>Roof Cap With Bird Screen - 6"</t>
  </si>
  <si>
    <t>Roof Cap With Bird Screen - 8"</t>
  </si>
  <si>
    <t>Roof Cap With Bird Screen - 10"</t>
  </si>
  <si>
    <t>VCD - 12", Volume Control Damper, "RUSKIN" MODEL MDRS25, Round Manual Balancing Damper. Controlshaft/Hand Quadrant Shall Be 3/8" Squareaxle Shaft Extending Beyond Frame Throughfactory Mounted, Locking Handle Quadrant.Handle Shall Be Visible And Easily Accessible.</t>
  </si>
  <si>
    <t>DUCT WEIGHT</t>
  </si>
  <si>
    <t>LB</t>
  </si>
  <si>
    <t>DUCT INSULATION</t>
  </si>
  <si>
    <t>Externally wrapped With  A Min. Of R5 Insulation, 1" Thickness, Fiberglass (Material Assumed) (For Rectangular/Round)</t>
  </si>
  <si>
    <t>SF</t>
  </si>
  <si>
    <t>Externally wrapped With  A Min. Of R8 Insulation, 1-1/2" Thickness, Fiberglass (Material Assumed)  (For Rectangular/Round - For Exterior Ductwork)</t>
  </si>
  <si>
    <t>GAS PIPING</t>
  </si>
  <si>
    <t>SEAMLESS BLACK STEEL WITH MALLEABLE IRON FITTINGS.</t>
  </si>
  <si>
    <t>1/2" Dia Gas Pipe</t>
  </si>
  <si>
    <t>3/4" Dia Gas Pipe</t>
  </si>
  <si>
    <t>1" Dia Gas Pipe</t>
  </si>
  <si>
    <t>SEAMLESS BLACK STEEL WITH MALLEABLE IRON FITTINGS, PAINTED WITH YELLOW "RUSTOLEUM" PAINT</t>
  </si>
  <si>
    <t>FITTINGS</t>
  </si>
  <si>
    <t>90 Deg Elbow - 1/2"</t>
  </si>
  <si>
    <t>90 Deg Elbow - 3/4"</t>
  </si>
  <si>
    <t>90 Deg Elbow - 1"</t>
  </si>
  <si>
    <t>Reducer - 3/4" / 1/2"</t>
  </si>
  <si>
    <t>Reducer - 1" / 1/2"</t>
  </si>
  <si>
    <t>Reducer - 1" / 3/4"</t>
  </si>
  <si>
    <t>Tee - 1/2"</t>
  </si>
  <si>
    <t>Tee - 3/4" / 1/2"</t>
  </si>
  <si>
    <t>Tee - 1"</t>
  </si>
  <si>
    <t>GAS ACCESSORIES</t>
  </si>
  <si>
    <t>1" Dia Gas Primary Regulator</t>
  </si>
  <si>
    <t>1" Dia Gas Shut-Off Valve</t>
  </si>
  <si>
    <t>1/2" Dia Drip Leg</t>
  </si>
  <si>
    <t>1/2" Dia Gas Ball Valve</t>
  </si>
  <si>
    <t>1/2" Dia Gas Pressure Regulator</t>
  </si>
  <si>
    <t>1/2" Dia Gas Union</t>
  </si>
  <si>
    <t>1/2" Dia Quick Disconnect</t>
  </si>
  <si>
    <t>1/2" Dia Test Port</t>
  </si>
  <si>
    <t>REFRIGERANT PIPING</t>
  </si>
  <si>
    <t>COPPER, TYPE "L" HARD DRAWN WITH WROUGHT COPPER SOLDER JOINT TYPE FITTINGS, USE 95/5 SOLDER</t>
  </si>
  <si>
    <t>3/8" Dia RL Pipe</t>
  </si>
  <si>
    <t>5/8" Dia RS Pipe</t>
  </si>
  <si>
    <t>7/8" Dia RS Pipe</t>
  </si>
  <si>
    <t>1-1/8" Dia RS Pipe</t>
  </si>
  <si>
    <t>REFRIGERANT PIPING INSULATION</t>
  </si>
  <si>
    <t>3/4" THICK ARMAFLEX OR APPROVED EQUAL PIPE INSULATION</t>
  </si>
  <si>
    <t>3/8" Dia RL Pipe 90 Deg Elbow</t>
  </si>
  <si>
    <t>5/8" Dia RS Pipe 90 Deg Elbow</t>
  </si>
  <si>
    <t>7/8" Dia RS Pipe 90 Deg Elbow</t>
  </si>
  <si>
    <t>1-1/8" Dia RS Pipe 90 Deg Elbow</t>
  </si>
  <si>
    <t>TOTAL LABOR HOURS</t>
  </si>
  <si>
    <t>TOTAL AMOUNT</t>
  </si>
  <si>
    <t>CONTIGENCIES (5%)</t>
  </si>
  <si>
    <t>Labor Type</t>
  </si>
  <si>
    <t>Labor Rate</t>
  </si>
  <si>
    <t>Mechanical</t>
  </si>
  <si>
    <t>Mech</t>
  </si>
  <si>
    <t>Each/Count</t>
  </si>
  <si>
    <t>Linear Footage</t>
  </si>
  <si>
    <t>Square Footage</t>
  </si>
  <si>
    <t>Square Yard</t>
  </si>
  <si>
    <t>SY</t>
  </si>
  <si>
    <t>Cubic Yard</t>
  </si>
  <si>
    <t>CY</t>
  </si>
  <si>
    <t>Lumpsum</t>
  </si>
  <si>
    <t>Survery</t>
  </si>
  <si>
    <t>Survey</t>
  </si>
  <si>
    <t>Stair Riser</t>
  </si>
  <si>
    <t>RISER</t>
  </si>
  <si>
    <t>Blocks Count</t>
  </si>
  <si>
    <t>BLOCKS</t>
  </si>
  <si>
    <t>Bags of Pre-Mix Mortar</t>
  </si>
  <si>
    <t>BAGS</t>
  </si>
  <si>
    <t>Linear Footage of Wall</t>
  </si>
  <si>
    <t>LF.Wall</t>
  </si>
  <si>
    <t>Pounds</t>
  </si>
  <si>
    <t>LBS</t>
  </si>
  <si>
    <t>Pieces</t>
  </si>
  <si>
    <t>PCs</t>
  </si>
  <si>
    <t>Location</t>
  </si>
  <si>
    <t>LOC</t>
  </si>
  <si>
    <t>Bundle</t>
  </si>
  <si>
    <t>Rolls</t>
  </si>
  <si>
    <t>ROLLS</t>
  </si>
  <si>
    <t>Boxes</t>
  </si>
  <si>
    <t>BOX</t>
  </si>
  <si>
    <t>Holeses</t>
  </si>
  <si>
    <t>Holes</t>
  </si>
  <si>
    <t>PC</t>
  </si>
  <si>
    <t>Tubes</t>
  </si>
  <si>
    <t>Tube</t>
  </si>
  <si>
    <t>Gallons</t>
  </si>
  <si>
    <t>GA</t>
  </si>
  <si>
    <t>Square of Roofing</t>
  </si>
  <si>
    <t>SQ</t>
  </si>
  <si>
    <t>N/A</t>
  </si>
  <si>
    <t>NOTE:</t>
  </si>
  <si>
    <t>Prevailing wages have been included in this estimate in compliance with the Davis-Bacon Act.</t>
  </si>
  <si>
    <t>Material pricing is based on current market rates sourced from reputable online platforms and suppliers.</t>
  </si>
  <si>
    <t>Please note that actual costs may vary depending on site-specific conditions, unforeseen circumstances, or changes in market conditions.</t>
  </si>
  <si>
    <r>
      <t xml:space="preserve">SPIRAL DUCT FITTINGS - </t>
    </r>
    <r>
      <rPr>
        <b/>
        <i/>
        <u/>
        <sz val="12"/>
        <color rgb="FFFF0000"/>
        <rFont val="Calibri"/>
        <family val="2"/>
      </rPr>
      <t>All Exposed Exposed Spiral Ductwork Shall Be "HAMLIN" Double Wall Insulated Galvanized Steel Spiral Duct. Spiral duct Shall Be Paintable "PAINT GRIP" Spiral Duct Or Approved Equal.</t>
    </r>
  </si>
  <si>
    <t>OVERHEAD &amp; PROFIT (10%)</t>
  </si>
  <si>
    <t>TAX (7.25%)</t>
  </si>
  <si>
    <t>K, Supply Air Diffuser, METALAIRE MODEL V4002-AF-1OBD - ALUMINUM, Neck Size: 18"x10", Face Size: 20"x12", 350 Cfm, Surface Mounted (Sidewall), With Extractor Adjustment Rod
Notes:
1) Double Deflection Register - Vertical Front Blades - With Opposed Blade Damper. Standard Finish White.
3) Provide With Opposed Blade Damper</t>
  </si>
  <si>
    <t xml:space="preserve">4, Return Air Grille,  METALAIRE MODEL RH-RC-1 - ALUMINUM, Neck Size - 14", Face Size: 24"X24", 630 Cfm, 24x24 T-Bar Lay-In Tile Ceiling
Notes:
1.) Louver Face. Standard White Finish.
2.) Provide Metalaire Model Deep Al - Square To Round Deep Transition, Aluminum Sized To Round Size Shown.
</t>
  </si>
  <si>
    <t>Reducer - 20" / 18"</t>
  </si>
  <si>
    <r>
      <t xml:space="preserve">1" Dia Gas Meter </t>
    </r>
    <r>
      <rPr>
        <sz val="12"/>
        <color rgb="FFFF0000"/>
        <rFont val="Calibri"/>
        <family val="2"/>
      </rPr>
      <t>By Company</t>
    </r>
  </si>
  <si>
    <t>ABC</t>
  </si>
  <si>
    <t>XYZ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</si>
</sst>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0.00_);_(&quot;$&quot;* \(#,##0.00\);_(&quot;$&quot;* &quot;-&quot;??_);_(@_)"/>
    <numFmt numFmtId="164" formatCode="_-* #,##0.00_-;\-* #,##0.00_-;_-* &quot;-&quot;??_-;_-@_-"/>
    <numFmt numFmtId="165" formatCode="_(&quot;$&quot;* #,##0.0_);_(&quot;$&quot;* \(#,##0.0\);_(&quot;$&quot;* &quot;-&quot;??_);_(@_)"/>
    <numFmt numFmtId="166" formatCode="_(&quot;$&quot;* #,##0_);_(&quot;$&quot;* \(#,##0\);_(&quot;$&quot;* &quot;-&quot;??_);_(@_)"/>
    <numFmt numFmtId="167" formatCode="000000"/>
    <numFmt numFmtId="168" formatCode="0.000"/>
    <numFmt numFmtId="169" formatCode="0.0"/>
    <numFmt numFmtId="170" formatCode="[$-409]d/mmm/yy;@"/>
    <numFmt numFmtId="171" formatCode="0.0%"/>
    <numFmt numFmtId="172" formatCode="_-[$$-409]* #,##0_ ;_-[$$-409]* \-#,##0\ ;_-[$$-409]* &quot;-&quot;??_ ;_-@_ "/>
  </numFmts>
  <fonts count="47">
    <font>
      <sz val="11"/>
      <color theme="1"/>
      <name val="Tw Cen MT"/>
      <charset val="134"/>
      <scheme val="minor"/>
    </font>
    <font>
      <b/>
      <sz val="11"/>
      <color theme="1"/>
      <name val="Calibri"/>
      <charset val="134"/>
    </font>
    <font>
      <sz val="11"/>
      <color theme="1"/>
      <name val="Calibri"/>
      <charset val="134"/>
    </font>
    <font>
      <b/>
      <i/>
      <sz val="11"/>
      <color theme="1"/>
      <name val="Calibri"/>
      <charset val="134"/>
    </font>
    <font>
      <b/>
      <i/>
      <sz val="12"/>
      <color theme="1"/>
      <name val="Calibri"/>
      <charset val="134"/>
    </font>
    <font>
      <b/>
      <sz val="10"/>
      <color rgb="FFFF0000"/>
      <name val="Calibri"/>
      <charset val="134"/>
    </font>
    <font>
      <sz val="10"/>
      <color theme="1"/>
      <name val="Calibri"/>
      <charset val="134"/>
    </font>
    <font>
      <sz val="12"/>
      <color theme="1"/>
      <name val="Calibri"/>
      <charset val="134"/>
    </font>
    <font>
      <b/>
      <sz val="14"/>
      <color theme="0"/>
      <name val="Calibri"/>
      <charset val="134"/>
    </font>
    <font>
      <b/>
      <sz val="14"/>
      <color theme="1"/>
      <name val="Calibri"/>
      <charset val="134"/>
    </font>
    <font>
      <sz val="12"/>
      <name val="Calibri"/>
      <charset val="134"/>
    </font>
    <font>
      <b/>
      <sz val="12"/>
      <color theme="1"/>
      <name val="Calibri"/>
      <charset val="134"/>
    </font>
    <font>
      <b/>
      <sz val="14"/>
      <name val="Calibri"/>
      <charset val="134"/>
    </font>
    <font>
      <b/>
      <sz val="12"/>
      <color rgb="FF009A88"/>
      <name val="Calibri"/>
      <charset val="134"/>
    </font>
    <font>
      <sz val="12"/>
      <color rgb="FFFFFFFF"/>
      <name val="Calibri"/>
      <charset val="134"/>
    </font>
    <font>
      <b/>
      <sz val="12"/>
      <color rgb="FFFFFFFF"/>
      <name val="Calibri"/>
      <charset val="134"/>
    </font>
    <font>
      <b/>
      <sz val="12"/>
      <color theme="6"/>
      <name val="Calibri"/>
      <charset val="134"/>
    </font>
    <font>
      <b/>
      <sz val="12"/>
      <name val="Calibri"/>
      <charset val="134"/>
    </font>
    <font>
      <sz val="12"/>
      <name val="Arial"/>
      <charset val="134"/>
    </font>
    <font>
      <sz val="11"/>
      <color rgb="FF000000"/>
      <name val="Calibri"/>
      <charset val="134"/>
    </font>
    <font>
      <b/>
      <sz val="12"/>
      <color theme="1"/>
      <name val="Tw Cen MT"/>
      <charset val="134"/>
      <scheme val="minor"/>
    </font>
    <font>
      <sz val="11"/>
      <color theme="1"/>
      <name val="Tw Cen MT"/>
      <charset val="134"/>
      <scheme val="minor"/>
    </font>
    <font>
      <sz val="12"/>
      <color indexed="9"/>
      <name val="Calibri"/>
      <family val="2"/>
    </font>
    <font>
      <sz val="12"/>
      <color rgb="FFFFFFFF"/>
      <name val="Calibri"/>
      <family val="2"/>
    </font>
    <font>
      <b/>
      <sz val="12"/>
      <color indexed="9"/>
      <name val="Calibri"/>
      <family val="2"/>
    </font>
    <font>
      <sz val="12"/>
      <color theme="1"/>
      <name val="Calibri"/>
      <family val="2"/>
    </font>
    <font>
      <sz val="12"/>
      <name val="Calibri"/>
      <family val="2"/>
    </font>
    <font>
      <sz val="12"/>
      <color rgb="FF000000"/>
      <name val="Calibri"/>
      <family val="2"/>
    </font>
    <font>
      <b/>
      <sz val="12"/>
      <color theme="1"/>
      <name val="Calibri"/>
      <family val="2"/>
    </font>
    <font>
      <b/>
      <sz val="12"/>
      <color indexed="8"/>
      <name val="Calibri"/>
      <family val="2"/>
    </font>
    <font>
      <sz val="12"/>
      <color indexed="8"/>
      <name val="Calibri"/>
      <family val="2"/>
    </font>
    <font>
      <u/>
      <sz val="12"/>
      <color indexed="10"/>
      <name val="Calibri"/>
      <family val="2"/>
    </font>
    <font>
      <sz val="12"/>
      <color rgb="FF0C0C0C"/>
      <name val="Calibri"/>
      <family val="2"/>
    </font>
    <font>
      <b/>
      <i/>
      <u/>
      <sz val="12"/>
      <color rgb="FFFF0000"/>
      <name val="Calibri"/>
      <family val="2"/>
    </font>
    <font>
      <b/>
      <i/>
      <u/>
      <sz val="12"/>
      <color theme="1"/>
      <name val="Calibri"/>
      <family val="2"/>
    </font>
    <font>
      <b/>
      <sz val="12"/>
      <name val="Calibri"/>
      <family val="2"/>
    </font>
    <font>
      <b/>
      <sz val="12"/>
      <color rgb="FF000000"/>
      <name val="Calibri"/>
      <family val="2"/>
    </font>
    <font>
      <b/>
      <sz val="12"/>
      <color rgb="FF0C0C0C"/>
      <name val="Calibri"/>
      <family val="2"/>
    </font>
    <font>
      <sz val="16"/>
      <color rgb="FFFFFFFF"/>
      <name val="Times New Roman"/>
      <family val="1"/>
    </font>
    <font>
      <sz val="11"/>
      <color theme="1"/>
      <name val="Times New Roman"/>
      <family val="1"/>
    </font>
    <font>
      <b/>
      <sz val="12"/>
      <color rgb="FF000000"/>
      <name val="Times New Roman"/>
      <family val="1"/>
    </font>
    <font>
      <sz val="14"/>
      <color rgb="FFFFFFFF"/>
      <name val="Times New Roman"/>
      <family val="1"/>
    </font>
    <font>
      <b/>
      <sz val="12"/>
      <name val="Times New Roman"/>
      <family val="1"/>
    </font>
    <font>
      <sz val="12"/>
      <name val="Times New Roman"/>
      <family val="1"/>
    </font>
    <font>
      <sz val="12"/>
      <color theme="1"/>
      <name val="Times New Roman"/>
      <family val="1"/>
    </font>
    <font>
      <b/>
      <sz val="12"/>
      <color theme="1"/>
      <name val="Times New Roman"/>
      <family val="1"/>
    </font>
    <font>
      <sz val="12"/>
      <color rgb="FFFF0000"/>
      <name val="Calibri"/>
      <family val="2"/>
    </font>
  </fonts>
  <fills count="18">
    <fill>
      <patternFill patternType="none"/>
    </fill>
    <fill>
      <patternFill patternType="gray125"/>
    </fill>
    <fill>
      <patternFill patternType="solid">
        <fgColor theme="0"/>
        <bgColor indexed="64"/>
      </patternFill>
    </fill>
    <fill>
      <patternFill patternType="solid">
        <fgColor theme="6" tint="0.79995117038483843"/>
        <bgColor indexed="64"/>
      </patternFill>
    </fill>
    <fill>
      <patternFill patternType="solid">
        <fgColor theme="5" tint="0.59999389629810485"/>
        <bgColor indexed="64"/>
      </patternFill>
    </fill>
    <fill>
      <patternFill patternType="solid">
        <fgColor theme="4" tint="0.39994506668294322"/>
        <bgColor indexed="64"/>
      </patternFill>
    </fill>
    <fill>
      <patternFill patternType="solid">
        <fgColor theme="2"/>
        <bgColor indexed="64"/>
      </patternFill>
    </fill>
    <fill>
      <patternFill patternType="solid">
        <fgColor rgb="FF00496A"/>
        <bgColor indexed="64"/>
      </patternFill>
    </fill>
    <fill>
      <patternFill patternType="solid">
        <fgColor rgb="FF366092"/>
        <bgColor rgb="FF366092"/>
      </patternFill>
    </fill>
    <fill>
      <patternFill patternType="solid">
        <fgColor rgb="FF366092"/>
        <bgColor indexed="64"/>
      </patternFill>
    </fill>
    <fill>
      <patternFill patternType="solid">
        <fgColor rgb="FF9BC2E6"/>
        <bgColor indexed="64"/>
      </patternFill>
    </fill>
    <fill>
      <patternFill patternType="solid">
        <fgColor rgb="FFDAEEF3"/>
        <bgColor indexed="64"/>
      </patternFill>
    </fill>
    <fill>
      <patternFill patternType="solid">
        <fgColor theme="2" tint="-9.9978637043366805E-2"/>
        <bgColor indexed="64"/>
      </patternFill>
    </fill>
    <fill>
      <patternFill patternType="solid">
        <fgColor rgb="FFDAEEF3"/>
        <bgColor rgb="FFDAEEF3"/>
      </patternFill>
    </fill>
    <fill>
      <patternFill patternType="solid">
        <fgColor rgb="FFB6DDE8"/>
        <bgColor rgb="FFB6DDE8"/>
      </patternFill>
    </fill>
    <fill>
      <patternFill patternType="solid">
        <fgColor rgb="FF92CDDC"/>
        <bgColor rgb="FF92CDDC"/>
      </patternFill>
    </fill>
    <fill>
      <patternFill patternType="solid">
        <fgColor rgb="FFFFFFCC"/>
        <bgColor indexed="64"/>
      </patternFill>
    </fill>
    <fill>
      <patternFill patternType="solid">
        <fgColor theme="0" tint="-4.9989318521683403E-2"/>
        <bgColor indexed="64"/>
      </patternFill>
    </fill>
  </fills>
  <borders count="42">
    <border>
      <left/>
      <right/>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top/>
      <bottom style="thin">
        <color auto="1"/>
      </bottom>
      <diagonal/>
    </border>
    <border>
      <left style="thin">
        <color auto="1"/>
      </left>
      <right style="medium">
        <color auto="1"/>
      </right>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diagonal/>
    </border>
    <border>
      <left style="thin">
        <color auto="1"/>
      </left>
      <right style="medium">
        <color auto="1"/>
      </right>
      <top style="medium">
        <color auto="1"/>
      </top>
      <bottom style="medium">
        <color auto="1"/>
      </bottom>
      <diagonal/>
    </border>
    <border>
      <left/>
      <right style="medium">
        <color auto="1"/>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style="thin">
        <color auto="1"/>
      </left>
      <right style="thin">
        <color auto="1"/>
      </right>
      <top/>
      <bottom/>
      <diagonal/>
    </border>
    <border>
      <left style="medium">
        <color auto="1"/>
      </left>
      <right style="medium">
        <color auto="1"/>
      </right>
      <top style="medium">
        <color auto="1"/>
      </top>
      <bottom style="medium">
        <color auto="1"/>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style="thin">
        <color auto="1"/>
      </left>
      <right style="medium">
        <color auto="1"/>
      </right>
      <top/>
      <bottom/>
      <diagonal/>
    </border>
    <border>
      <left style="thin">
        <color auto="1"/>
      </left>
      <right style="medium">
        <color auto="1"/>
      </right>
      <top/>
      <bottom style="medium">
        <color auto="1"/>
      </bottom>
      <diagonal/>
    </border>
  </borders>
  <cellStyleXfs count="13">
    <xf numFmtId="0" fontId="0" fillId="0" borderId="0"/>
    <xf numFmtId="44" fontId="21" fillId="0" borderId="0" applyFont="0" applyFill="0" applyBorder="0" applyAlignment="0" applyProtection="0"/>
    <xf numFmtId="9" fontId="21" fillId="0" borderId="0" applyFont="0" applyFill="0" applyBorder="0" applyAlignment="0" applyProtection="0"/>
    <xf numFmtId="0" fontId="21" fillId="16" borderId="39" applyNumberFormat="0" applyFont="0" applyAlignment="0" applyProtection="0"/>
    <xf numFmtId="44" fontId="21" fillId="0" borderId="0" applyFont="0" applyFill="0" applyBorder="0" applyAlignment="0" applyProtection="0"/>
    <xf numFmtId="44" fontId="18" fillId="0" borderId="0" applyFont="0" applyFill="0" applyBorder="0" applyAlignment="0" applyProtection="0"/>
    <xf numFmtId="44" fontId="21" fillId="0" borderId="0" applyFont="0" applyFill="0" applyBorder="0" applyAlignment="0" applyProtection="0"/>
    <xf numFmtId="0" fontId="21" fillId="0" borderId="0"/>
    <xf numFmtId="0" fontId="18" fillId="0" borderId="0"/>
    <xf numFmtId="0" fontId="19" fillId="0" borderId="0">
      <protection locked="0"/>
    </xf>
    <xf numFmtId="9" fontId="18" fillId="0" borderId="0" applyFont="0" applyFill="0" applyBorder="0" applyAlignment="0" applyProtection="0"/>
    <xf numFmtId="9" fontId="21" fillId="0" borderId="0" applyFont="0" applyFill="0" applyBorder="0" applyAlignment="0" applyProtection="0"/>
    <xf numFmtId="1" fontId="20" fillId="2" borderId="15">
      <alignment horizontal="center" vertical="center"/>
    </xf>
  </cellStyleXfs>
  <cellXfs count="218">
    <xf numFmtId="0" fontId="0" fillId="0" borderId="0" xfId="0"/>
    <xf numFmtId="0" fontId="1" fillId="2" borderId="0" xfId="7" applyFont="1" applyFill="1"/>
    <xf numFmtId="0" fontId="2" fillId="2" borderId="0" xfId="7" applyFont="1" applyFill="1"/>
    <xf numFmtId="0" fontId="3" fillId="2" borderId="0" xfId="7" applyFont="1" applyFill="1"/>
    <xf numFmtId="0" fontId="4" fillId="3" borderId="1" xfId="7" applyFont="1" applyFill="1" applyBorder="1" applyAlignment="1">
      <alignment horizontal="center"/>
    </xf>
    <xf numFmtId="0" fontId="4" fillId="3" borderId="2" xfId="7" applyFont="1" applyFill="1" applyBorder="1" applyAlignment="1">
      <alignment horizontal="center"/>
    </xf>
    <xf numFmtId="0" fontId="3" fillId="4" borderId="3" xfId="7" applyFont="1" applyFill="1" applyBorder="1" applyAlignment="1">
      <alignment horizontal="right"/>
    </xf>
    <xf numFmtId="0" fontId="4" fillId="4" borderId="4" xfId="7" applyFont="1" applyFill="1" applyBorder="1"/>
    <xf numFmtId="44" fontId="4" fillId="4" borderId="5" xfId="6" applyFont="1" applyFill="1" applyBorder="1"/>
    <xf numFmtId="0" fontId="3" fillId="4" borderId="6" xfId="7" applyFont="1" applyFill="1" applyBorder="1" applyAlignment="1">
      <alignment horizontal="right"/>
    </xf>
    <xf numFmtId="0" fontId="4" fillId="4" borderId="0" xfId="7" applyFont="1" applyFill="1"/>
    <xf numFmtId="44" fontId="4" fillId="4" borderId="7" xfId="6" applyFont="1" applyFill="1" applyBorder="1"/>
    <xf numFmtId="0" fontId="3" fillId="4" borderId="8" xfId="7" applyFont="1" applyFill="1" applyBorder="1" applyAlignment="1">
      <alignment horizontal="right"/>
    </xf>
    <xf numFmtId="0" fontId="4" fillId="4" borderId="9" xfId="7" applyFont="1" applyFill="1" applyBorder="1"/>
    <xf numFmtId="166" fontId="4" fillId="4" borderId="10" xfId="6" applyNumberFormat="1" applyFont="1" applyFill="1" applyBorder="1"/>
    <xf numFmtId="0" fontId="4" fillId="5" borderId="3" xfId="7" applyFont="1" applyFill="1" applyBorder="1" applyAlignment="1">
      <alignment horizontal="right"/>
    </xf>
    <xf numFmtId="0" fontId="4" fillId="5" borderId="4" xfId="7" applyFont="1" applyFill="1" applyBorder="1"/>
    <xf numFmtId="9" fontId="4" fillId="5" borderId="5" xfId="11" applyFont="1" applyFill="1" applyBorder="1"/>
    <xf numFmtId="0" fontId="4" fillId="5" borderId="6" xfId="7" applyFont="1" applyFill="1" applyBorder="1"/>
    <xf numFmtId="0" fontId="4" fillId="5" borderId="0" xfId="7" applyFont="1" applyFill="1"/>
    <xf numFmtId="9" fontId="4" fillId="5" borderId="7" xfId="11" applyFont="1" applyFill="1" applyBorder="1"/>
    <xf numFmtId="0" fontId="4" fillId="5" borderId="8" xfId="7" applyFont="1" applyFill="1" applyBorder="1"/>
    <xf numFmtId="0" fontId="4" fillId="5" borderId="9" xfId="7" applyFont="1" applyFill="1" applyBorder="1"/>
    <xf numFmtId="9" fontId="4" fillId="5" borderId="10" xfId="11" applyFont="1" applyFill="1" applyBorder="1"/>
    <xf numFmtId="0" fontId="5" fillId="2" borderId="0" xfId="7" applyFont="1" applyFill="1"/>
    <xf numFmtId="0" fontId="6" fillId="2" borderId="0" xfId="7" applyFont="1" applyFill="1"/>
    <xf numFmtId="0" fontId="7" fillId="0" borderId="0" xfId="0" applyFont="1" applyAlignment="1">
      <alignment vertical="center"/>
    </xf>
    <xf numFmtId="0" fontId="7" fillId="2" borderId="0" xfId="0" applyFont="1" applyFill="1" applyAlignment="1">
      <alignment vertical="center"/>
    </xf>
    <xf numFmtId="0" fontId="7" fillId="2" borderId="0" xfId="0" applyFont="1" applyFill="1" applyAlignment="1">
      <alignment horizontal="center" vertical="center"/>
    </xf>
    <xf numFmtId="0" fontId="7" fillId="2" borderId="0" xfId="0" applyFont="1" applyFill="1" applyAlignment="1">
      <alignment vertical="center" wrapText="1"/>
    </xf>
    <xf numFmtId="0" fontId="7" fillId="6" borderId="3" xfId="0" applyFont="1" applyFill="1" applyBorder="1" applyAlignment="1">
      <alignment horizontal="center" vertical="center" wrapText="1"/>
    </xf>
    <xf numFmtId="0" fontId="7" fillId="6" borderId="4" xfId="0" applyFont="1" applyFill="1" applyBorder="1" applyAlignment="1">
      <alignment horizontal="center" vertical="center" wrapText="1"/>
    </xf>
    <xf numFmtId="0" fontId="7" fillId="2" borderId="6" xfId="0" applyFont="1" applyFill="1" applyBorder="1" applyAlignment="1">
      <alignment vertical="center"/>
    </xf>
    <xf numFmtId="0" fontId="10" fillId="2" borderId="0" xfId="0" applyFont="1" applyFill="1" applyAlignment="1">
      <alignment horizontal="center" vertical="center"/>
    </xf>
    <xf numFmtId="0" fontId="11" fillId="0" borderId="0" xfId="0" applyFont="1" applyAlignment="1">
      <alignment vertical="center"/>
    </xf>
    <xf numFmtId="0" fontId="7" fillId="0" borderId="0" xfId="0" applyFont="1" applyAlignment="1">
      <alignment horizontal="center" vertical="center"/>
    </xf>
    <xf numFmtId="0" fontId="10" fillId="2" borderId="0" xfId="0" applyFont="1" applyFill="1" applyAlignment="1">
      <alignment horizontal="left" vertical="center" wrapText="1"/>
    </xf>
    <xf numFmtId="3" fontId="13" fillId="2" borderId="0" xfId="0" applyNumberFormat="1" applyFont="1" applyFill="1" applyAlignment="1">
      <alignment horizontal="left" vertical="center" wrapText="1"/>
    </xf>
    <xf numFmtId="167" fontId="14" fillId="8" borderId="12" xfId="0" applyNumberFormat="1" applyFont="1" applyFill="1" applyBorder="1" applyAlignment="1">
      <alignment horizontal="center" vertical="center" wrapText="1"/>
    </xf>
    <xf numFmtId="167" fontId="14" fillId="8" borderId="13" xfId="0" applyNumberFormat="1" applyFont="1" applyFill="1" applyBorder="1" applyAlignment="1">
      <alignment horizontal="center" vertical="center" wrapText="1"/>
    </xf>
    <xf numFmtId="0" fontId="15" fillId="8" borderId="13" xfId="0" applyFont="1" applyFill="1" applyBorder="1" applyAlignment="1">
      <alignment horizontal="center" vertical="center" wrapText="1"/>
    </xf>
    <xf numFmtId="0" fontId="16" fillId="0" borderId="0" xfId="0" applyFont="1" applyAlignment="1">
      <alignment horizontal="center" vertical="center"/>
    </xf>
    <xf numFmtId="0" fontId="16" fillId="0" borderId="0" xfId="0" applyFont="1" applyAlignment="1">
      <alignment horizontal="left" vertical="center"/>
    </xf>
    <xf numFmtId="0" fontId="17" fillId="2" borderId="0" xfId="0" applyFont="1" applyFill="1" applyAlignment="1">
      <alignment horizontal="right" vertical="center"/>
    </xf>
    <xf numFmtId="0" fontId="16" fillId="2" borderId="0" xfId="0" applyFont="1" applyFill="1" applyAlignment="1">
      <alignment horizontal="center" vertical="center"/>
    </xf>
    <xf numFmtId="0" fontId="16" fillId="2" borderId="0" xfId="0" applyFont="1" applyFill="1" applyAlignment="1">
      <alignment horizontal="left" vertical="center"/>
    </xf>
    <xf numFmtId="170" fontId="12" fillId="2" borderId="7" xfId="0" applyNumberFormat="1" applyFont="1" applyFill="1" applyBorder="1" applyAlignment="1">
      <alignment horizontal="center" vertical="center" wrapText="1"/>
    </xf>
    <xf numFmtId="167" fontId="14" fillId="8" borderId="24" xfId="0" applyNumberFormat="1" applyFont="1" applyFill="1" applyBorder="1" applyAlignment="1">
      <alignment horizontal="center" vertical="center" wrapText="1"/>
    </xf>
    <xf numFmtId="167" fontId="22" fillId="9" borderId="14" xfId="0" applyNumberFormat="1" applyFont="1" applyFill="1" applyBorder="1" applyAlignment="1">
      <alignment horizontal="center" vertical="center" wrapText="1"/>
    </xf>
    <xf numFmtId="167" fontId="22" fillId="9" borderId="15" xfId="0" applyNumberFormat="1" applyFont="1" applyFill="1" applyBorder="1" applyAlignment="1">
      <alignment horizontal="center" vertical="center" wrapText="1"/>
    </xf>
    <xf numFmtId="167" fontId="23" fillId="8" borderId="15" xfId="0" applyNumberFormat="1" applyFont="1" applyFill="1" applyBorder="1" applyAlignment="1">
      <alignment horizontal="center" vertical="center" wrapText="1"/>
    </xf>
    <xf numFmtId="0" fontId="24" fillId="9" borderId="15" xfId="0" applyFont="1" applyFill="1" applyBorder="1" applyAlignment="1">
      <alignment horizontal="left" vertical="center" wrapText="1"/>
    </xf>
    <xf numFmtId="167" fontId="22" fillId="9" borderId="25" xfId="0" applyNumberFormat="1" applyFont="1" applyFill="1" applyBorder="1" applyAlignment="1">
      <alignment horizontal="center" vertical="center" wrapText="1"/>
    </xf>
    <xf numFmtId="0" fontId="29" fillId="0" borderId="21" xfId="0" applyFont="1" applyBorder="1" applyAlignment="1">
      <alignment horizontal="right" vertical="center" wrapText="1"/>
    </xf>
    <xf numFmtId="166" fontId="22" fillId="9" borderId="25" xfId="0" applyNumberFormat="1" applyFont="1" applyFill="1" applyBorder="1" applyAlignment="1">
      <alignment horizontal="center" vertical="center" wrapText="1"/>
    </xf>
    <xf numFmtId="0" fontId="31" fillId="0" borderId="18" xfId="0" applyFont="1" applyBorder="1" applyAlignment="1">
      <alignment vertical="center" wrapText="1"/>
    </xf>
    <xf numFmtId="0" fontId="30" fillId="0" borderId="15" xfId="0" applyFont="1" applyBorder="1" applyAlignment="1">
      <alignment vertical="center" wrapText="1"/>
    </xf>
    <xf numFmtId="0" fontId="25" fillId="0" borderId="15" xfId="0" applyFont="1" applyBorder="1" applyAlignment="1">
      <alignment horizontal="left" vertical="center" wrapText="1"/>
    </xf>
    <xf numFmtId="166" fontId="25" fillId="0" borderId="24" xfId="0" applyNumberFormat="1" applyFont="1" applyBorder="1" applyAlignment="1">
      <alignment horizontal="center" vertical="center" wrapText="1"/>
    </xf>
    <xf numFmtId="0" fontId="33" fillId="0" borderId="15" xfId="0" applyFont="1" applyBorder="1" applyAlignment="1">
      <alignment horizontal="left" vertical="center" wrapText="1"/>
    </xf>
    <xf numFmtId="1" fontId="35" fillId="12" borderId="15" xfId="0" applyNumberFormat="1" applyFont="1" applyFill="1" applyBorder="1" applyAlignment="1">
      <alignment horizontal="center" vertical="center" wrapText="1"/>
    </xf>
    <xf numFmtId="0" fontId="35" fillId="5" borderId="15" xfId="0" applyFont="1" applyFill="1" applyBorder="1" applyAlignment="1">
      <alignment horizontal="center" vertical="center" wrapText="1"/>
    </xf>
    <xf numFmtId="0" fontId="36" fillId="13" borderId="15" xfId="0" applyFont="1" applyFill="1" applyBorder="1" applyAlignment="1">
      <alignment horizontal="left" vertical="center" wrapText="1"/>
    </xf>
    <xf numFmtId="0" fontId="36" fillId="15" borderId="30" xfId="0" applyFont="1" applyFill="1" applyBorder="1" applyAlignment="1">
      <alignment horizontal="left" vertical="center" wrapText="1"/>
    </xf>
    <xf numFmtId="0" fontId="25" fillId="0" borderId="0" xfId="0" applyFont="1" applyAlignment="1">
      <alignment wrapText="1"/>
    </xf>
    <xf numFmtId="1" fontId="26" fillId="2" borderId="12" xfId="3" applyNumberFormat="1" applyFont="1" applyFill="1" applyBorder="1" applyAlignment="1">
      <alignment horizontal="center" vertical="center" wrapText="1"/>
    </xf>
    <xf numFmtId="1" fontId="26" fillId="2" borderId="16" xfId="3" applyNumberFormat="1" applyFont="1" applyFill="1" applyBorder="1" applyAlignment="1">
      <alignment horizontal="center" vertical="center" wrapText="1"/>
    </xf>
    <xf numFmtId="0" fontId="25" fillId="0" borderId="13" xfId="0" applyFont="1" applyBorder="1" applyAlignment="1">
      <alignment horizontal="left" vertical="center" wrapText="1"/>
    </xf>
    <xf numFmtId="0" fontId="25" fillId="0" borderId="13" xfId="0" applyFont="1" applyBorder="1" applyAlignment="1">
      <alignment horizontal="center" vertical="center" wrapText="1"/>
    </xf>
    <xf numFmtId="9" fontId="25" fillId="0" borderId="13" xfId="0" applyNumberFormat="1" applyFont="1" applyBorder="1" applyAlignment="1">
      <alignment horizontal="center" vertical="center" wrapText="1"/>
    </xf>
    <xf numFmtId="1" fontId="25" fillId="0" borderId="13" xfId="0" applyNumberFormat="1" applyFont="1" applyBorder="1" applyAlignment="1">
      <alignment horizontal="center" vertical="center" wrapText="1"/>
    </xf>
    <xf numFmtId="168" fontId="27" fillId="0" borderId="15" xfId="0" applyNumberFormat="1" applyFont="1" applyBorder="1" applyAlignment="1">
      <alignment horizontal="center" vertical="center" wrapText="1"/>
    </xf>
    <xf numFmtId="169" fontId="27" fillId="0" borderId="15" xfId="0" applyNumberFormat="1" applyFont="1" applyBorder="1" applyAlignment="1">
      <alignment horizontal="center" vertical="center" wrapText="1"/>
    </xf>
    <xf numFmtId="44" fontId="25" fillId="0" borderId="15" xfId="1" applyFont="1" applyBorder="1" applyAlignment="1" applyProtection="1">
      <alignment horizontal="center" vertical="center" wrapText="1"/>
    </xf>
    <xf numFmtId="165" fontId="25" fillId="0" borderId="15" xfId="0" applyNumberFormat="1" applyFont="1" applyBorder="1" applyAlignment="1">
      <alignment horizontal="left" vertical="center" wrapText="1"/>
    </xf>
    <xf numFmtId="44" fontId="25" fillId="2" borderId="0" xfId="0" applyNumberFormat="1" applyFont="1" applyFill="1" applyAlignment="1">
      <alignment vertical="center" wrapText="1"/>
    </xf>
    <xf numFmtId="0" fontId="25" fillId="2" borderId="0" xfId="0" applyFont="1" applyFill="1" applyAlignment="1">
      <alignment vertical="center" wrapText="1"/>
    </xf>
    <xf numFmtId="1" fontId="26" fillId="2" borderId="14" xfId="3" applyNumberFormat="1" applyFont="1" applyFill="1" applyBorder="1" applyAlignment="1">
      <alignment horizontal="center" vertical="center" wrapText="1"/>
    </xf>
    <xf numFmtId="1" fontId="26" fillId="2" borderId="17" xfId="3" applyNumberFormat="1" applyFont="1" applyFill="1" applyBorder="1" applyAlignment="1">
      <alignment horizontal="center" vertical="center" wrapText="1"/>
    </xf>
    <xf numFmtId="0" fontId="25" fillId="0" borderId="15" xfId="0" applyFont="1" applyBorder="1" applyAlignment="1">
      <alignment horizontal="center" vertical="center" wrapText="1"/>
    </xf>
    <xf numFmtId="9" fontId="25" fillId="0" borderId="15" xfId="0" applyNumberFormat="1" applyFont="1" applyBorder="1" applyAlignment="1">
      <alignment horizontal="center" vertical="center" wrapText="1"/>
    </xf>
    <xf numFmtId="1" fontId="25" fillId="0" borderId="15" xfId="0" applyNumberFormat="1" applyFont="1" applyBorder="1" applyAlignment="1">
      <alignment horizontal="center" vertical="center" wrapText="1"/>
    </xf>
    <xf numFmtId="0" fontId="25" fillId="0" borderId="18" xfId="0" applyFont="1" applyBorder="1" applyAlignment="1">
      <alignment horizontal="left" vertical="center" wrapText="1"/>
    </xf>
    <xf numFmtId="0" fontId="25" fillId="0" borderId="18" xfId="0" applyFont="1" applyBorder="1" applyAlignment="1">
      <alignment horizontal="center" vertical="center" wrapText="1"/>
    </xf>
    <xf numFmtId="9" fontId="25" fillId="0" borderId="18" xfId="0" applyNumberFormat="1" applyFont="1" applyBorder="1" applyAlignment="1">
      <alignment horizontal="center" vertical="center" wrapText="1"/>
    </xf>
    <xf numFmtId="1" fontId="25" fillId="0" borderId="18" xfId="0" applyNumberFormat="1" applyFont="1" applyBorder="1" applyAlignment="1">
      <alignment horizontal="center" vertical="center" wrapText="1"/>
    </xf>
    <xf numFmtId="168" fontId="27" fillId="0" borderId="18" xfId="0" applyNumberFormat="1" applyFont="1" applyBorder="1" applyAlignment="1">
      <alignment horizontal="center" vertical="center" wrapText="1"/>
    </xf>
    <xf numFmtId="169" fontId="27" fillId="0" borderId="18" xfId="0" applyNumberFormat="1" applyFont="1" applyBorder="1" applyAlignment="1">
      <alignment horizontal="center" vertical="center" wrapText="1"/>
    </xf>
    <xf numFmtId="44" fontId="25" fillId="0" borderId="18" xfId="1" applyFont="1" applyBorder="1" applyAlignment="1" applyProtection="1">
      <alignment horizontal="center" vertical="center" wrapText="1"/>
    </xf>
    <xf numFmtId="165" fontId="25" fillId="0" borderId="18" xfId="0" applyNumberFormat="1" applyFont="1" applyBorder="1" applyAlignment="1">
      <alignment horizontal="left" vertical="center" wrapText="1"/>
    </xf>
    <xf numFmtId="0" fontId="28" fillId="0" borderId="19" xfId="0" applyFont="1" applyBorder="1" applyAlignment="1">
      <alignment vertical="center" wrapText="1"/>
    </xf>
    <xf numFmtId="0" fontId="28" fillId="0" borderId="20" xfId="0" applyFont="1" applyBorder="1" applyAlignment="1">
      <alignment vertical="center" wrapText="1"/>
    </xf>
    <xf numFmtId="0" fontId="28" fillId="0" borderId="22" xfId="0" applyFont="1" applyBorder="1" applyAlignment="1">
      <alignment vertical="center" wrapText="1"/>
    </xf>
    <xf numFmtId="44" fontId="28" fillId="0" borderId="22" xfId="1" applyFont="1" applyFill="1" applyBorder="1" applyAlignment="1">
      <alignment horizontal="right" vertical="center" wrapText="1"/>
    </xf>
    <xf numFmtId="166" fontId="29" fillId="11" borderId="27" xfId="0" applyNumberFormat="1" applyFont="1" applyFill="1" applyBorder="1" applyAlignment="1">
      <alignment horizontal="center" vertical="center" wrapText="1"/>
    </xf>
    <xf numFmtId="44" fontId="25" fillId="0" borderId="0" xfId="0" applyNumberFormat="1" applyFont="1" applyAlignment="1">
      <alignment vertical="center" wrapText="1"/>
    </xf>
    <xf numFmtId="0" fontId="25" fillId="0" borderId="0" xfId="0" applyFont="1" applyAlignment="1">
      <alignment vertical="center" wrapText="1"/>
    </xf>
    <xf numFmtId="0" fontId="28" fillId="0" borderId="23" xfId="0" applyFont="1" applyBorder="1" applyAlignment="1">
      <alignment vertical="center" wrapText="1"/>
    </xf>
    <xf numFmtId="0" fontId="28" fillId="0" borderId="28" xfId="0" applyFont="1" applyBorder="1" applyAlignment="1">
      <alignment vertical="center" wrapText="1"/>
    </xf>
    <xf numFmtId="0" fontId="30" fillId="0" borderId="0" xfId="0" applyFont="1" applyAlignment="1">
      <alignment wrapText="1"/>
    </xf>
    <xf numFmtId="0" fontId="30" fillId="0" borderId="0" xfId="0" applyFont="1" applyAlignment="1">
      <alignment horizontal="left" wrapText="1"/>
    </xf>
    <xf numFmtId="0" fontId="29" fillId="10" borderId="15" xfId="0" applyFont="1" applyFill="1" applyBorder="1" applyAlignment="1">
      <alignment horizontal="center" vertical="center" wrapText="1"/>
    </xf>
    <xf numFmtId="168" fontId="30" fillId="0" borderId="15" xfId="0" applyNumberFormat="1" applyFont="1" applyBorder="1" applyAlignment="1">
      <alignment horizontal="center" vertical="center" wrapText="1"/>
    </xf>
    <xf numFmtId="169" fontId="30" fillId="0" borderId="15" xfId="0" applyNumberFormat="1" applyFont="1" applyBorder="1" applyAlignment="1">
      <alignment horizontal="center" vertical="center" wrapText="1"/>
    </xf>
    <xf numFmtId="44" fontId="30" fillId="0" borderId="15" xfId="0" applyNumberFormat="1" applyFont="1" applyBorder="1" applyAlignment="1">
      <alignment horizontal="center" vertical="center" wrapText="1"/>
    </xf>
    <xf numFmtId="166" fontId="25" fillId="0" borderId="25" xfId="0" applyNumberFormat="1" applyFont="1" applyBorder="1" applyAlignment="1">
      <alignment horizontal="center" vertical="center" wrapText="1"/>
    </xf>
    <xf numFmtId="0" fontId="25" fillId="0" borderId="0" xfId="0" applyFont="1" applyAlignment="1">
      <alignment horizontal="left" wrapText="1"/>
    </xf>
    <xf numFmtId="1" fontId="25" fillId="0" borderId="17" xfId="0" applyNumberFormat="1" applyFont="1" applyBorder="1" applyAlignment="1">
      <alignment horizontal="center" vertical="center" wrapText="1"/>
    </xf>
    <xf numFmtId="9" fontId="32" fillId="0" borderId="15" xfId="0" applyNumberFormat="1" applyFont="1" applyBorder="1" applyAlignment="1">
      <alignment horizontal="center" vertical="center" wrapText="1"/>
    </xf>
    <xf numFmtId="1" fontId="32" fillId="0" borderId="15" xfId="0" applyNumberFormat="1" applyFont="1" applyBorder="1" applyAlignment="1">
      <alignment horizontal="center" vertical="center" wrapText="1"/>
    </xf>
    <xf numFmtId="0" fontId="34" fillId="0" borderId="15" xfId="0" applyFont="1" applyBorder="1" applyAlignment="1">
      <alignment horizontal="left" vertical="center" wrapText="1"/>
    </xf>
    <xf numFmtId="0" fontId="30" fillId="0" borderId="15" xfId="0" applyFont="1" applyBorder="1" applyAlignment="1">
      <alignment horizontal="center" vertical="center" wrapText="1"/>
    </xf>
    <xf numFmtId="0" fontId="30" fillId="0" borderId="22" xfId="0" applyFont="1" applyBorder="1" applyAlignment="1">
      <alignment horizontal="center" vertical="center" wrapText="1"/>
    </xf>
    <xf numFmtId="1" fontId="30" fillId="0" borderId="22" xfId="0" applyNumberFormat="1" applyFont="1" applyBorder="1" applyAlignment="1">
      <alignment horizontal="center" vertical="center" wrapText="1"/>
    </xf>
    <xf numFmtId="0" fontId="29" fillId="0" borderId="22" xfId="0" applyFont="1" applyBorder="1" applyAlignment="1">
      <alignment vertical="center" wrapText="1"/>
    </xf>
    <xf numFmtId="166" fontId="29" fillId="0" borderId="22" xfId="0" applyNumberFormat="1" applyFont="1" applyBorder="1" applyAlignment="1">
      <alignment horizontal="center" vertical="center" wrapText="1"/>
    </xf>
    <xf numFmtId="165" fontId="29" fillId="0" borderId="22" xfId="0" applyNumberFormat="1" applyFont="1" applyBorder="1" applyAlignment="1">
      <alignment vertical="center" wrapText="1"/>
    </xf>
    <xf numFmtId="165" fontId="30" fillId="0" borderId="22" xfId="0" applyNumberFormat="1" applyFont="1" applyBorder="1" applyAlignment="1">
      <alignment horizontal="center" vertical="center" wrapText="1"/>
    </xf>
    <xf numFmtId="0" fontId="26" fillId="0" borderId="23" xfId="0" applyFont="1" applyBorder="1" applyAlignment="1">
      <alignment vertical="center" wrapText="1"/>
    </xf>
    <xf numFmtId="166" fontId="26" fillId="0" borderId="28" xfId="0" applyNumberFormat="1" applyFont="1" applyBorder="1" applyAlignment="1">
      <alignment vertical="center" wrapText="1"/>
    </xf>
    <xf numFmtId="0" fontId="26" fillId="0" borderId="0" xfId="0" applyFont="1" applyAlignment="1">
      <alignment vertical="center" wrapText="1"/>
    </xf>
    <xf numFmtId="0" fontId="26" fillId="0" borderId="15" xfId="0" applyFont="1" applyBorder="1" applyAlignment="1">
      <alignment horizontal="center" vertical="center" wrapText="1"/>
    </xf>
    <xf numFmtId="166" fontId="35" fillId="4" borderId="15" xfId="0" applyNumberFormat="1" applyFont="1" applyFill="1" applyBorder="1" applyAlignment="1">
      <alignment horizontal="center" vertical="center" wrapText="1"/>
    </xf>
    <xf numFmtId="166" fontId="35" fillId="5" borderId="15" xfId="0" applyNumberFormat="1" applyFont="1" applyFill="1" applyBorder="1" applyAlignment="1">
      <alignment horizontal="center" vertical="center" wrapText="1"/>
    </xf>
    <xf numFmtId="165" fontId="25" fillId="0" borderId="25" xfId="0" applyNumberFormat="1" applyFont="1" applyBorder="1" applyAlignment="1">
      <alignment horizontal="center" vertical="center" wrapText="1"/>
    </xf>
    <xf numFmtId="0" fontId="27" fillId="0" borderId="0" xfId="0" applyFont="1" applyAlignment="1">
      <alignment wrapText="1"/>
    </xf>
    <xf numFmtId="0" fontId="27" fillId="0" borderId="0" xfId="0" applyFont="1" applyAlignment="1">
      <alignment horizontal="left" wrapText="1"/>
    </xf>
    <xf numFmtId="0" fontId="36" fillId="13" borderId="14" xfId="0" applyFont="1" applyFill="1" applyBorder="1" applyAlignment="1">
      <alignment horizontal="left" vertical="center" wrapText="1"/>
    </xf>
    <xf numFmtId="0" fontId="27" fillId="13" borderId="15" xfId="0" applyFont="1" applyFill="1" applyBorder="1" applyAlignment="1">
      <alignment horizontal="center" vertical="center" wrapText="1"/>
    </xf>
    <xf numFmtId="0" fontId="36" fillId="13" borderId="15" xfId="0" applyFont="1" applyFill="1" applyBorder="1" applyAlignment="1">
      <alignment horizontal="center" vertical="center" wrapText="1"/>
    </xf>
    <xf numFmtId="0" fontId="37" fillId="13" borderId="15" xfId="0" applyFont="1" applyFill="1" applyBorder="1" applyAlignment="1">
      <alignment horizontal="center" vertical="center" wrapText="1"/>
    </xf>
    <xf numFmtId="1" fontId="37" fillId="13" borderId="15" xfId="0" applyNumberFormat="1" applyFont="1" applyFill="1" applyBorder="1" applyAlignment="1">
      <alignment horizontal="center" vertical="center" wrapText="1"/>
    </xf>
    <xf numFmtId="44" fontId="37" fillId="13" borderId="15" xfId="0" applyNumberFormat="1" applyFont="1" applyFill="1" applyBorder="1" applyAlignment="1">
      <alignment horizontal="left" vertical="center" wrapText="1"/>
    </xf>
    <xf numFmtId="166" fontId="36" fillId="13" borderId="25" xfId="0" applyNumberFormat="1" applyFont="1" applyFill="1" applyBorder="1" applyAlignment="1">
      <alignment horizontal="left" vertical="center" wrapText="1"/>
    </xf>
    <xf numFmtId="0" fontId="36" fillId="13" borderId="15" xfId="0" applyFont="1" applyFill="1" applyBorder="1" applyAlignment="1">
      <alignment horizontal="center" wrapText="1"/>
    </xf>
    <xf numFmtId="0" fontId="36" fillId="13" borderId="15" xfId="0" applyFont="1" applyFill="1" applyBorder="1" applyAlignment="1">
      <alignment horizontal="left" wrapText="1"/>
    </xf>
    <xf numFmtId="1" fontId="36" fillId="13" borderId="15" xfId="0" applyNumberFormat="1" applyFont="1" applyFill="1" applyBorder="1" applyAlignment="1">
      <alignment horizontal="center" vertical="center" wrapText="1"/>
    </xf>
    <xf numFmtId="9" fontId="36" fillId="13" borderId="15" xfId="0" applyNumberFormat="1" applyFont="1" applyFill="1" applyBorder="1" applyAlignment="1">
      <alignment horizontal="left" vertical="center" wrapText="1"/>
    </xf>
    <xf numFmtId="0" fontId="36" fillId="0" borderId="0" xfId="0" applyFont="1" applyAlignment="1">
      <alignment wrapText="1"/>
    </xf>
    <xf numFmtId="0" fontId="36" fillId="14" borderId="14" xfId="0" applyFont="1" applyFill="1" applyBorder="1" applyAlignment="1">
      <alignment horizontal="left" vertical="center" wrapText="1"/>
    </xf>
    <xf numFmtId="0" fontId="27" fillId="14" borderId="15" xfId="0" applyFont="1" applyFill="1" applyBorder="1" applyAlignment="1">
      <alignment horizontal="center" vertical="center" wrapText="1"/>
    </xf>
    <xf numFmtId="0" fontId="36" fillId="14" borderId="15" xfId="0" applyFont="1" applyFill="1" applyBorder="1" applyAlignment="1">
      <alignment horizontal="center" wrapText="1"/>
    </xf>
    <xf numFmtId="0" fontId="36" fillId="14" borderId="15" xfId="0" applyFont="1" applyFill="1" applyBorder="1" applyAlignment="1">
      <alignment horizontal="left" wrapText="1"/>
    </xf>
    <xf numFmtId="1" fontId="36" fillId="14" borderId="15" xfId="0" applyNumberFormat="1" applyFont="1" applyFill="1" applyBorder="1" applyAlignment="1">
      <alignment horizontal="center" vertical="center" wrapText="1"/>
    </xf>
    <xf numFmtId="0" fontId="36" fillId="14" borderId="15" xfId="0" applyFont="1" applyFill="1" applyBorder="1" applyAlignment="1">
      <alignment horizontal="center" vertical="center" wrapText="1"/>
    </xf>
    <xf numFmtId="9" fontId="36" fillId="14" borderId="15" xfId="0" applyNumberFormat="1" applyFont="1" applyFill="1" applyBorder="1" applyAlignment="1">
      <alignment horizontal="left" vertical="center" wrapText="1"/>
    </xf>
    <xf numFmtId="166" fontId="36" fillId="14" borderId="25" xfId="0" applyNumberFormat="1" applyFont="1" applyFill="1" applyBorder="1" applyAlignment="1">
      <alignment horizontal="left" vertical="center" wrapText="1"/>
    </xf>
    <xf numFmtId="0" fontId="36" fillId="15" borderId="14" xfId="0" applyFont="1" applyFill="1" applyBorder="1" applyAlignment="1">
      <alignment horizontal="left" vertical="center" wrapText="1"/>
    </xf>
    <xf numFmtId="0" fontId="27" fillId="15" borderId="15" xfId="0" applyFont="1" applyFill="1" applyBorder="1" applyAlignment="1">
      <alignment horizontal="center" vertical="center" wrapText="1"/>
    </xf>
    <xf numFmtId="0" fontId="36" fillId="15" borderId="15" xfId="0" applyFont="1" applyFill="1" applyBorder="1" applyAlignment="1">
      <alignment horizontal="center" wrapText="1"/>
    </xf>
    <xf numFmtId="0" fontId="36" fillId="15" borderId="15" xfId="0" applyFont="1" applyFill="1" applyBorder="1" applyAlignment="1">
      <alignment horizontal="left" wrapText="1"/>
    </xf>
    <xf numFmtId="1" fontId="36" fillId="15" borderId="15" xfId="0" applyNumberFormat="1" applyFont="1" applyFill="1" applyBorder="1" applyAlignment="1">
      <alignment horizontal="center" vertical="center" wrapText="1"/>
    </xf>
    <xf numFmtId="0" fontId="36" fillId="15" borderId="15" xfId="0" applyFont="1" applyFill="1" applyBorder="1" applyAlignment="1">
      <alignment horizontal="center" vertical="center" wrapText="1"/>
    </xf>
    <xf numFmtId="10" fontId="36" fillId="15" borderId="15" xfId="0" applyNumberFormat="1" applyFont="1" applyFill="1" applyBorder="1" applyAlignment="1">
      <alignment horizontal="left" vertical="center" wrapText="1"/>
    </xf>
    <xf numFmtId="166" fontId="36" fillId="15" borderId="25" xfId="0" applyNumberFormat="1" applyFont="1" applyFill="1" applyBorder="1" applyAlignment="1">
      <alignment horizontal="left" vertical="center" wrapText="1"/>
    </xf>
    <xf numFmtId="171" fontId="36" fillId="15" borderId="15" xfId="0" applyNumberFormat="1" applyFont="1" applyFill="1" applyBorder="1" applyAlignment="1">
      <alignment horizontal="left" vertical="center" wrapText="1"/>
    </xf>
    <xf numFmtId="0" fontId="36" fillId="15" borderId="29" xfId="0" applyFont="1" applyFill="1" applyBorder="1" applyAlignment="1">
      <alignment horizontal="left" vertical="center" wrapText="1"/>
    </xf>
    <xf numFmtId="0" fontId="27" fillId="15" borderId="30" xfId="0" applyFont="1" applyFill="1" applyBorder="1" applyAlignment="1">
      <alignment horizontal="center" vertical="center" wrapText="1"/>
    </xf>
    <xf numFmtId="167" fontId="36" fillId="15" borderId="30" xfId="0" applyNumberFormat="1" applyFont="1" applyFill="1" applyBorder="1" applyAlignment="1">
      <alignment horizontal="center" vertical="center" wrapText="1"/>
    </xf>
    <xf numFmtId="0" fontId="37" fillId="15" borderId="30" xfId="0" applyFont="1" applyFill="1" applyBorder="1" applyAlignment="1">
      <alignment horizontal="center" vertical="center" wrapText="1"/>
    </xf>
    <xf numFmtId="1" fontId="37" fillId="15" borderId="30" xfId="0" applyNumberFormat="1" applyFont="1" applyFill="1" applyBorder="1" applyAlignment="1">
      <alignment horizontal="center" vertical="center" wrapText="1"/>
    </xf>
    <xf numFmtId="44" fontId="37" fillId="15" borderId="30" xfId="0" applyNumberFormat="1" applyFont="1" applyFill="1" applyBorder="1" applyAlignment="1">
      <alignment horizontal="left" vertical="center" wrapText="1"/>
    </xf>
    <xf numFmtId="166" fontId="36" fillId="15" borderId="31" xfId="0" applyNumberFormat="1" applyFont="1" applyFill="1" applyBorder="1" applyAlignment="1">
      <alignment horizontal="left" vertical="center" wrapText="1"/>
    </xf>
    <xf numFmtId="0" fontId="39" fillId="2" borderId="0" xfId="0" applyFont="1" applyFill="1"/>
    <xf numFmtId="167" fontId="41" fillId="8" borderId="15" xfId="0" applyNumberFormat="1" applyFont="1" applyFill="1" applyBorder="1" applyAlignment="1">
      <alignment horizontal="center" vertical="center" wrapText="1"/>
    </xf>
    <xf numFmtId="0" fontId="39" fillId="2" borderId="7" xfId="0" applyFont="1" applyFill="1" applyBorder="1"/>
    <xf numFmtId="0" fontId="42" fillId="0" borderId="12" xfId="0" applyFont="1" applyBorder="1" applyAlignment="1">
      <alignment horizontal="center" vertical="center"/>
    </xf>
    <xf numFmtId="0" fontId="43" fillId="0" borderId="36" xfId="0" applyFont="1" applyBorder="1" applyAlignment="1">
      <alignment vertical="center"/>
    </xf>
    <xf numFmtId="166" fontId="44" fillId="0" borderId="24" xfId="0" applyNumberFormat="1" applyFont="1" applyBorder="1"/>
    <xf numFmtId="0" fontId="42" fillId="0" borderId="14" xfId="0" applyFont="1" applyBorder="1" applyAlignment="1">
      <alignment horizontal="center" vertical="center"/>
    </xf>
    <xf numFmtId="0" fontId="43" fillId="0" borderId="18" xfId="0" applyFont="1" applyBorder="1" applyAlignment="1">
      <alignment vertical="center"/>
    </xf>
    <xf numFmtId="166" fontId="44" fillId="0" borderId="25" xfId="0" applyNumberFormat="1" applyFont="1" applyBorder="1"/>
    <xf numFmtId="166" fontId="45" fillId="0" borderId="37" xfId="4" applyNumberFormat="1" applyFont="1" applyFill="1" applyBorder="1" applyAlignment="1">
      <alignment vertical="center"/>
    </xf>
    <xf numFmtId="44" fontId="39" fillId="2" borderId="0" xfId="0" applyNumberFormat="1" applyFont="1" applyFill="1"/>
    <xf numFmtId="0" fontId="40" fillId="13" borderId="14" xfId="0" applyFont="1" applyFill="1" applyBorder="1" applyAlignment="1">
      <alignment horizontal="center" vertical="center"/>
    </xf>
    <xf numFmtId="9" fontId="40" fillId="13" borderId="14" xfId="2" applyFont="1" applyFill="1" applyBorder="1" applyAlignment="1">
      <alignment horizontal="center" vertical="center"/>
    </xf>
    <xf numFmtId="0" fontId="40" fillId="14" borderId="14" xfId="0" applyFont="1" applyFill="1" applyBorder="1" applyAlignment="1">
      <alignment horizontal="center" vertical="center"/>
    </xf>
    <xf numFmtId="0" fontId="40" fillId="15" borderId="14" xfId="0" applyFont="1" applyFill="1" applyBorder="1" applyAlignment="1">
      <alignment horizontal="center" vertical="center"/>
    </xf>
    <xf numFmtId="171" fontId="40" fillId="15" borderId="14" xfId="2" applyNumberFormat="1" applyFont="1" applyFill="1" applyBorder="1" applyAlignment="1">
      <alignment horizontal="center" vertical="center"/>
    </xf>
    <xf numFmtId="164" fontId="39" fillId="2" borderId="9" xfId="0" applyNumberFormat="1" applyFont="1" applyFill="1" applyBorder="1"/>
    <xf numFmtId="0" fontId="39" fillId="2" borderId="9" xfId="0" applyFont="1" applyFill="1" applyBorder="1"/>
    <xf numFmtId="0" fontId="39" fillId="2" borderId="10" xfId="0" applyFont="1" applyFill="1" applyBorder="1"/>
    <xf numFmtId="166" fontId="39" fillId="2" borderId="0" xfId="0" applyNumberFormat="1" applyFont="1" applyFill="1"/>
    <xf numFmtId="10" fontId="40" fillId="14" borderId="14" xfId="2" applyNumberFormat="1" applyFont="1" applyFill="1" applyBorder="1" applyAlignment="1">
      <alignment horizontal="center" vertical="center"/>
    </xf>
    <xf numFmtId="168" fontId="27" fillId="17" borderId="15" xfId="0" applyNumberFormat="1" applyFont="1" applyFill="1" applyBorder="1" applyAlignment="1">
      <alignment horizontal="center" vertical="center" wrapText="1"/>
    </xf>
    <xf numFmtId="169" fontId="27" fillId="17" borderId="15" xfId="0" applyNumberFormat="1" applyFont="1" applyFill="1" applyBorder="1" applyAlignment="1">
      <alignment horizontal="center" vertical="center" wrapText="1"/>
    </xf>
    <xf numFmtId="44" fontId="25" fillId="17" borderId="15" xfId="1" applyFont="1" applyFill="1" applyBorder="1" applyAlignment="1" applyProtection="1">
      <alignment horizontal="center" vertical="center" wrapText="1"/>
    </xf>
    <xf numFmtId="165" fontId="25" fillId="17" borderId="15" xfId="0" applyNumberFormat="1" applyFont="1" applyFill="1" applyBorder="1" applyAlignment="1">
      <alignment horizontal="left" vertical="center" wrapText="1"/>
    </xf>
    <xf numFmtId="166" fontId="25" fillId="17" borderId="24" xfId="0" applyNumberFormat="1" applyFont="1" applyFill="1" applyBorder="1" applyAlignment="1">
      <alignment horizontal="center" vertical="center" wrapText="1"/>
    </xf>
    <xf numFmtId="172" fontId="40" fillId="13" borderId="14" xfId="0" applyNumberFormat="1" applyFont="1" applyFill="1" applyBorder="1" applyAlignment="1">
      <alignment horizontal="left" vertical="center"/>
    </xf>
    <xf numFmtId="172" fontId="40" fillId="14" borderId="14" xfId="0" applyNumberFormat="1" applyFont="1" applyFill="1" applyBorder="1" applyAlignment="1">
      <alignment horizontal="left" vertical="center"/>
    </xf>
    <xf numFmtId="172" fontId="40" fillId="15" borderId="14" xfId="0" applyNumberFormat="1" applyFont="1" applyFill="1" applyBorder="1" applyAlignment="1">
      <alignment horizontal="left" vertical="center"/>
    </xf>
    <xf numFmtId="164" fontId="25" fillId="0" borderId="0" xfId="0" applyNumberFormat="1" applyFont="1" applyAlignment="1">
      <alignment horizontal="left" wrapText="1"/>
    </xf>
    <xf numFmtId="164" fontId="30" fillId="0" borderId="0" xfId="0" applyNumberFormat="1" applyFont="1" applyAlignment="1">
      <alignment wrapText="1"/>
    </xf>
    <xf numFmtId="167" fontId="38" fillId="8" borderId="32" xfId="0" applyNumberFormat="1" applyFont="1" applyFill="1" applyBorder="1" applyAlignment="1">
      <alignment horizontal="center" vertical="center" wrapText="1"/>
    </xf>
    <xf numFmtId="167" fontId="38" fillId="8" borderId="23" xfId="0" applyNumberFormat="1" applyFont="1" applyFill="1" applyBorder="1" applyAlignment="1">
      <alignment horizontal="center" vertical="center" wrapText="1"/>
    </xf>
    <xf numFmtId="167" fontId="38" fillId="8" borderId="16" xfId="0" applyNumberFormat="1" applyFont="1" applyFill="1" applyBorder="1" applyAlignment="1">
      <alignment horizontal="center" vertical="center" wrapText="1"/>
    </xf>
    <xf numFmtId="0" fontId="45" fillId="0" borderId="37" xfId="0" applyFont="1" applyBorder="1" applyAlignment="1">
      <alignment horizontal="center" vertical="center"/>
    </xf>
    <xf numFmtId="49" fontId="42" fillId="0" borderId="37" xfId="0" applyNumberFormat="1" applyFont="1" applyBorder="1" applyAlignment="1">
      <alignment horizontal="center" vertical="center"/>
    </xf>
    <xf numFmtId="0" fontId="40" fillId="13" borderId="33" xfId="0" applyFont="1" applyFill="1" applyBorder="1" applyAlignment="1">
      <alignment horizontal="center" vertical="center"/>
    </xf>
    <xf numFmtId="0" fontId="40" fillId="13" borderId="34" xfId="0" applyFont="1" applyFill="1" applyBorder="1" applyAlignment="1">
      <alignment horizontal="center" vertical="center"/>
    </xf>
    <xf numFmtId="0" fontId="40" fillId="13" borderId="38" xfId="0" applyFont="1" applyFill="1" applyBorder="1" applyAlignment="1">
      <alignment horizontal="center" vertical="center"/>
    </xf>
    <xf numFmtId="0" fontId="40" fillId="13" borderId="35" xfId="0" applyFont="1" applyFill="1" applyBorder="1" applyAlignment="1">
      <alignment horizontal="center" vertical="center"/>
    </xf>
    <xf numFmtId="0" fontId="40" fillId="13" borderId="23" xfId="0" applyFont="1" applyFill="1" applyBorder="1" applyAlignment="1">
      <alignment horizontal="center" vertical="center"/>
    </xf>
    <xf numFmtId="0" fontId="40" fillId="13" borderId="16" xfId="0" applyFont="1" applyFill="1" applyBorder="1" applyAlignment="1">
      <alignment horizontal="center" vertical="center"/>
    </xf>
    <xf numFmtId="0" fontId="8" fillId="7" borderId="1" xfId="0" applyFont="1" applyFill="1" applyBorder="1" applyAlignment="1">
      <alignment horizontal="center" vertical="center"/>
    </xf>
    <xf numFmtId="0" fontId="8" fillId="7" borderId="11" xfId="0" applyFont="1" applyFill="1" applyBorder="1" applyAlignment="1">
      <alignment horizontal="center" vertical="center"/>
    </xf>
    <xf numFmtId="0" fontId="8" fillId="7" borderId="2" xfId="0" applyFont="1" applyFill="1" applyBorder="1" applyAlignment="1">
      <alignment horizontal="center" vertical="center"/>
    </xf>
    <xf numFmtId="0" fontId="9" fillId="0" borderId="4" xfId="0" applyFont="1" applyBorder="1" applyAlignment="1">
      <alignment horizontal="left" wrapText="1"/>
    </xf>
    <xf numFmtId="3" fontId="9" fillId="2" borderId="0" xfId="0" applyNumberFormat="1" applyFont="1" applyFill="1" applyAlignment="1">
      <alignment horizontal="left"/>
    </xf>
    <xf numFmtId="0" fontId="12" fillId="2" borderId="0" xfId="0" applyFont="1" applyFill="1" applyAlignment="1">
      <alignment horizontal="left" vertical="center"/>
    </xf>
    <xf numFmtId="0" fontId="35" fillId="12" borderId="15" xfId="0" applyFont="1" applyFill="1" applyBorder="1" applyAlignment="1">
      <alignment horizontal="center" vertical="center" wrapText="1"/>
    </xf>
    <xf numFmtId="0" fontId="35" fillId="4" borderId="15" xfId="0" applyFont="1" applyFill="1" applyBorder="1" applyAlignment="1">
      <alignment horizontal="center" vertical="center" wrapText="1"/>
    </xf>
    <xf numFmtId="44" fontId="25" fillId="0" borderId="26" xfId="0" applyNumberFormat="1" applyFont="1" applyBorder="1" applyAlignment="1">
      <alignment horizontal="center" vertical="center" wrapText="1"/>
    </xf>
    <xf numFmtId="44" fontId="25" fillId="0" borderId="40" xfId="0" applyNumberFormat="1" applyFont="1" applyBorder="1" applyAlignment="1">
      <alignment horizontal="center" vertical="center" wrapText="1"/>
    </xf>
    <xf numFmtId="44" fontId="25" fillId="0" borderId="41" xfId="0" applyNumberFormat="1" applyFont="1" applyBorder="1" applyAlignment="1">
      <alignment horizontal="center" vertical="center" wrapText="1"/>
    </xf>
    <xf numFmtId="0" fontId="4" fillId="3" borderId="3" xfId="7" applyFont="1" applyFill="1" applyBorder="1" applyAlignment="1">
      <alignment horizontal="center"/>
    </xf>
    <xf numFmtId="0" fontId="4" fillId="3" borderId="5" xfId="7" applyFont="1" applyFill="1" applyBorder="1" applyAlignment="1">
      <alignment horizontal="center"/>
    </xf>
  </cellXfs>
  <cellStyles count="13">
    <cellStyle name="Currency" xfId="1" builtinId="4"/>
    <cellStyle name="Currency 2" xfId="4" xr:uid="{00000000-0005-0000-0000-000031000000}"/>
    <cellStyle name="Currency 3" xfId="5" xr:uid="{00000000-0005-0000-0000-000032000000}"/>
    <cellStyle name="Currency 4" xfId="6" xr:uid="{00000000-0005-0000-0000-000033000000}"/>
    <cellStyle name="Normal" xfId="0" builtinId="0"/>
    <cellStyle name="Normal 2" xfId="7" xr:uid="{00000000-0005-0000-0000-000034000000}"/>
    <cellStyle name="Normal 2 3" xfId="8" xr:uid="{00000000-0005-0000-0000-000035000000}"/>
    <cellStyle name="Normal 4" xfId="9" xr:uid="{00000000-0005-0000-0000-000036000000}"/>
    <cellStyle name="Note" xfId="3" builtinId="10"/>
    <cellStyle name="Percent" xfId="2" builtinId="5"/>
    <cellStyle name="Percent 2" xfId="10" xr:uid="{00000000-0005-0000-0000-000037000000}"/>
    <cellStyle name="Percent 3" xfId="11" xr:uid="{00000000-0005-0000-0000-000038000000}"/>
    <cellStyle name="Style 1" xfId="12" xr:uid="{00000000-0005-0000-0000-000039000000}"/>
  </cellStyles>
  <dxfs count="0"/>
  <tableStyles count="0" defaultTableStyle="TableStyleMedium9" defaultPivotStyle="PivotStyleLight16"/>
  <colors>
    <mruColors>
      <color rgb="FF00496A"/>
      <color rgb="FF4A4C4C"/>
      <color rgb="FF013554"/>
      <color rgb="FF001521"/>
      <color rgb="FF00A6A5"/>
      <color rgb="FF00C8C3"/>
      <color rgb="FF00A8A4"/>
      <color rgb="FF00DED9"/>
      <color rgb="FF00BCB8"/>
      <color rgb="FF00DA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lang="en-US" sz="1400" b="1" i="0" u="none" strike="noStrike" kern="1200" cap="none" baseline="0">
              <a:solidFill>
                <a:schemeClr val="lt1">
                  <a:lumMod val="85000"/>
                </a:schemeClr>
              </a:solidFill>
              <a:latin typeface="+mn-lt"/>
              <a:ea typeface="+mn-ea"/>
              <a:cs typeface="+mn-cs"/>
            </a:defRPr>
          </a:pPr>
          <a:endParaRPr lang="en-PK"/>
        </a:p>
      </c:txPr>
    </c:title>
    <c:autoTitleDeleted val="0"/>
    <c:plotArea>
      <c:layout/>
      <c:barChart>
        <c:barDir val="col"/>
        <c:grouping val="clustered"/>
        <c:varyColors val="0"/>
        <c:ser>
          <c:idx val="0"/>
          <c:order val="0"/>
          <c:tx>
            <c:v>DIVISION COST COMPARISON</c:v>
          </c:tx>
          <c:spPr>
            <a:noFill/>
            <a:ln w="9525" cap="flat" cmpd="sng" algn="ctr">
              <a:solidFill>
                <a:schemeClr val="accent1"/>
              </a:solidFill>
              <a:miter lim="800000"/>
            </a:ln>
            <a:effectLst>
              <a:glow rad="63500">
                <a:schemeClr val="accent1">
                  <a:satMod val="175000"/>
                  <a:alpha val="25000"/>
                </a:schemeClr>
              </a:glow>
            </a:effectLst>
          </c:spPr>
          <c:invertIfNegative val="0"/>
          <c:cat>
            <c:strRef>
              <c:f>'General Summary'!$B$5:$B$6</c:f>
              <c:strCache>
                <c:ptCount val="2"/>
                <c:pt idx="0">
                  <c:v>General Requirments</c:v>
                </c:pt>
                <c:pt idx="1">
                  <c:v>HVAC</c:v>
                </c:pt>
              </c:strCache>
            </c:strRef>
          </c:cat>
          <c:val>
            <c:numRef>
              <c:f>'General Summary'!$C$5:$C$6</c:f>
              <c:numCache>
                <c:formatCode>_("$"* #,##0_);_("$"* \(#,##0\);_("$"* "-"??_);_(@_)</c:formatCode>
                <c:ptCount val="2"/>
                <c:pt idx="0">
                  <c:v>15000</c:v>
                </c:pt>
                <c:pt idx="1">
                  <c:v>246455.93554212511</c:v>
                </c:pt>
              </c:numCache>
            </c:numRef>
          </c:val>
          <c:extLst>
            <c:ext xmlns:c16="http://schemas.microsoft.com/office/drawing/2014/chart" uri="{C3380CC4-5D6E-409C-BE32-E72D297353CC}">
              <c16:uniqueId val="{00000000-69CA-497D-BCC8-56D801A89270}"/>
            </c:ext>
          </c:extLst>
        </c:ser>
        <c:dLbls>
          <c:showLegendKey val="0"/>
          <c:showVal val="0"/>
          <c:showCatName val="0"/>
          <c:showSerName val="0"/>
          <c:showPercent val="0"/>
          <c:showBubbleSize val="0"/>
        </c:dLbls>
        <c:gapWidth val="315"/>
        <c:overlap val="-40"/>
        <c:axId val="525215184"/>
        <c:axId val="525188976"/>
      </c:barChart>
      <c:catAx>
        <c:axId val="525215184"/>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n-US" sz="900" b="0" i="0" u="none" strike="noStrike" kern="1200" baseline="0">
                <a:solidFill>
                  <a:schemeClr val="lt1">
                    <a:lumMod val="75000"/>
                  </a:schemeClr>
                </a:solidFill>
                <a:latin typeface="+mn-lt"/>
                <a:ea typeface="+mn-ea"/>
                <a:cs typeface="+mn-cs"/>
              </a:defRPr>
            </a:pPr>
            <a:endParaRPr lang="en-PK"/>
          </a:p>
        </c:txPr>
        <c:crossAx val="525188976"/>
        <c:crosses val="autoZero"/>
        <c:auto val="1"/>
        <c:lblAlgn val="ctr"/>
        <c:lblOffset val="100"/>
        <c:noMultiLvlLbl val="0"/>
      </c:catAx>
      <c:valAx>
        <c:axId val="525188976"/>
        <c:scaling>
          <c:orientation val="minMax"/>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lang="en-US" sz="900" b="0" i="0" u="none" strike="noStrike" kern="1200" baseline="0">
                <a:solidFill>
                  <a:schemeClr val="lt1">
                    <a:lumMod val="75000"/>
                  </a:schemeClr>
                </a:solidFill>
                <a:latin typeface="+mn-lt"/>
                <a:ea typeface="+mn-ea"/>
                <a:cs typeface="+mn-cs"/>
              </a:defRPr>
            </a:pPr>
            <a:endParaRPr lang="en-PK"/>
          </a:p>
        </c:txPr>
        <c:crossAx val="525215184"/>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lang="en-US" sz="900" b="0" i="0" u="none" strike="noStrike" kern="1200" baseline="0">
              <a:solidFill>
                <a:schemeClr val="lt1">
                  <a:lumMod val="75000"/>
                </a:schemeClr>
              </a:solidFill>
              <a:latin typeface="+mn-lt"/>
              <a:ea typeface="+mn-ea"/>
              <a:cs typeface="+mn-cs"/>
            </a:defRPr>
          </a:pPr>
          <a:endParaRPr lang="en-PK"/>
        </a:p>
      </c:txPr>
    </c:legend>
    <c:plotVisOnly val="1"/>
    <c:dispBlanksAs val="gap"/>
    <c:showDLblsOverMax val="0"/>
    <c:extLst>
      <c:ext uri="{0b15fc19-7d7d-44ad-8c2d-2c3a37ce22c3}">
        <chartProps xmlns="https://web.wps.cn/et/2018/main" chartId="{ecb594af-0e31-408f-9841-f6998af29eb4}"/>
      </c:ext>
    </c:extLst>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lang="en-US"/>
      </a:pPr>
      <a:endParaRPr lang="en-PK"/>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3">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1543</xdr:colOff>
      <xdr:row>3</xdr:row>
      <xdr:rowOff>10886</xdr:rowOff>
    </xdr:from>
    <xdr:to>
      <xdr:col>14</xdr:col>
      <xdr:colOff>2969</xdr:colOff>
      <xdr:row>12</xdr:row>
      <xdr:rowOff>196496</xdr:rowOff>
    </xdr:to>
    <xdr:graphicFrame macro="">
      <xdr:nvGraphicFramePr>
        <xdr:cNvPr id="2" name="Chart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3</xdr:col>
      <xdr:colOff>457200</xdr:colOff>
      <xdr:row>1</xdr:row>
      <xdr:rowOff>0</xdr:rowOff>
    </xdr:from>
    <xdr:ext cx="184731" cy="285515"/>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2192020" y="190500"/>
          <a:ext cx="184150" cy="2851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sz="1100"/>
        </a:p>
      </xdr:txBody>
    </xdr:sp>
    <xdr:clientData/>
  </xdr:oneCellAnchor>
  <xdr:oneCellAnchor>
    <xdr:from>
      <xdr:col>3</xdr:col>
      <xdr:colOff>0</xdr:colOff>
      <xdr:row>1</xdr:row>
      <xdr:rowOff>0</xdr:rowOff>
    </xdr:from>
    <xdr:ext cx="184731" cy="285515"/>
    <xdr:sp macro="" textlink="">
      <xdr:nvSpPr>
        <xdr:cNvPr id="5" name="TextBox 4">
          <a:extLst>
            <a:ext uri="{FF2B5EF4-FFF2-40B4-BE49-F238E27FC236}">
              <a16:creationId xmlns:a16="http://schemas.microsoft.com/office/drawing/2014/main" id="{00000000-0008-0000-0100-000005000000}"/>
            </a:ext>
          </a:extLst>
        </xdr:cNvPr>
        <xdr:cNvSpPr txBox="1"/>
      </xdr:nvSpPr>
      <xdr:spPr>
        <a:xfrm>
          <a:off x="1734820" y="190500"/>
          <a:ext cx="184150" cy="2851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sz="1100"/>
        </a:p>
      </xdr:txBody>
    </xdr:sp>
    <xdr:clientData/>
  </xdr:oneCellAnchor>
</xdr:wsDr>
</file>

<file path=xl/theme/theme1.xml><?xml version="1.0" encoding="utf-8"?>
<a:theme xmlns:a="http://schemas.openxmlformats.org/drawingml/2006/main" name="Integral">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Integral">
      <a:majorFont>
        <a:latin typeface="Tw Cen MT Condensed"/>
        <a:ea typeface=""/>
        <a:cs typeface=""/>
        <a:font script="Grek" typeface="Calibri"/>
        <a:font script="Cyrl" typeface="Calibri"/>
        <a:font script="Jpan" typeface="メイリオ"/>
        <a:font script="Hang" typeface="HY얕은샘물M"/>
        <a:font script="Hans" typeface="华文仿宋"/>
        <a:font script="Hant" typeface="微軟正黑體"/>
        <a:font script="Arab" typeface="Arial"/>
        <a:font script="Hebr" typeface="Levenim MT"/>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Tw Cen MT"/>
        <a:ea typeface=""/>
        <a:cs typeface=""/>
        <a:font script="Grek" typeface="Calibri"/>
        <a:font script="Cyrl" typeface="Calibri"/>
        <a:font script="Jpan" typeface="メイリオ"/>
        <a:font script="Hang" typeface="HY얕은샘물M"/>
        <a:font script="Hans" typeface="华文仿宋"/>
        <a:font script="Hant" typeface="微軟正黑體"/>
        <a:font script="Arab" typeface="Arial"/>
        <a:font script="Hebr" typeface="Levenim MT"/>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Integral">
      <a:fillStyleLst>
        <a:solidFill>
          <a:schemeClr val="phClr"/>
        </a:solidFill>
        <a:gradFill rotWithShape="1">
          <a:gsLst>
            <a:gs pos="0">
              <a:schemeClr val="phClr">
                <a:tint val="83000"/>
                <a:satMod val="100000"/>
                <a:lumMod val="100000"/>
              </a:schemeClr>
            </a:gs>
            <a:gs pos="100000">
              <a:schemeClr val="phClr">
                <a:tint val="61000"/>
                <a:satMod val="150000"/>
                <a:lumMod val="100000"/>
              </a:schemeClr>
            </a:gs>
          </a:gsLst>
          <a:path path="circle">
            <a:fillToRect l="100000" t="100000" r="100000" b="100000"/>
          </a:path>
        </a:gradFill>
        <a:gradFill rotWithShape="1">
          <a:gsLst>
            <a:gs pos="0">
              <a:schemeClr val="phClr">
                <a:tint val="100000"/>
                <a:shade val="85000"/>
                <a:satMod val="100000"/>
                <a:lumMod val="100000"/>
              </a:schemeClr>
            </a:gs>
            <a:gs pos="100000">
              <a:schemeClr val="phClr">
                <a:tint val="90000"/>
                <a:shade val="100000"/>
                <a:satMod val="150000"/>
                <a:lumMod val="100000"/>
              </a:schemeClr>
            </a:gs>
          </a:gsLst>
          <a:path path="circle">
            <a:fillToRect l="100000" t="100000" r="100000" b="100000"/>
          </a:path>
        </a:gradFill>
      </a:fillStyleLst>
      <a:lnStyleLst>
        <a:ln w="9525" cap="flat" cmpd="sng" algn="ctr">
          <a:solidFill>
            <a:schemeClr val="phClr"/>
          </a:solidFill>
          <a:prstDash val="solid"/>
        </a:ln>
        <a:ln w="15875"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outerShdw blurRad="50800" dist="12700" dir="5400000" algn="ctr" rotWithShape="0">
              <a:srgbClr val="000000">
                <a:alpha val="50000"/>
              </a:srgbClr>
            </a:outerShdw>
          </a:effectLst>
        </a:effectStyle>
        <a:effectStyle>
          <a:effectLst>
            <a:outerShdw blurRad="76200" dist="25400" dir="5400000" algn="ctr" rotWithShape="0">
              <a:srgbClr val="000000">
                <a:alpha val="60000"/>
              </a:srgbClr>
            </a:outerShdw>
          </a:effectLst>
          <a:scene3d>
            <a:camera prst="orthographicFront">
              <a:rot lat="0" lon="0" rev="0"/>
            </a:camera>
            <a:lightRig rig="flat" dir="t">
              <a:rot lat="0" lon="0" rev="3600000"/>
            </a:lightRig>
          </a:scene3d>
          <a:sp3d contourW="12700" prstMaterial="flat">
            <a:bevelT w="38100" h="44450" prst="angle"/>
            <a:contourClr>
              <a:schemeClr val="phClr">
                <a:shade val="35000"/>
                <a:satMod val="160000"/>
              </a:schemeClr>
            </a:contourClr>
          </a:sp3d>
        </a:effectStyle>
      </a:effectStyleLst>
      <a:bgFillStyleLst>
        <a:solidFill>
          <a:schemeClr val="phClr"/>
        </a:solidFill>
        <a:solidFill>
          <a:schemeClr val="phClr">
            <a:tint val="95000"/>
            <a:shade val="85000"/>
            <a:satMod val="125000"/>
          </a:schemeClr>
        </a:solidFill>
        <a:blipFill rotWithShape="1">
          <a:tile tx="0" ty="0" sx="40000" sy="40000" flip="none" algn="tl"/>
        </a:blip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sheetPr>
  <dimension ref="A1:N23"/>
  <sheetViews>
    <sheetView view="pageBreakPreview" zoomScale="90" zoomScaleNormal="100" zoomScaleSheetLayoutView="90" workbookViewId="0">
      <selection activeCell="B30" sqref="B30"/>
    </sheetView>
  </sheetViews>
  <sheetFormatPr defaultColWidth="9" defaultRowHeight="13.8"/>
  <cols>
    <col min="1" max="1" width="38.5" style="163" customWidth="1"/>
    <col min="2" max="2" width="63.09765625" style="163" customWidth="1"/>
    <col min="3" max="3" width="17.5" style="182" customWidth="1"/>
    <col min="4" max="16384" width="9" style="163"/>
  </cols>
  <sheetData>
    <row r="1" spans="1:14" ht="21">
      <c r="A1" s="194" t="s">
        <v>0</v>
      </c>
      <c r="B1" s="195"/>
      <c r="C1" s="195"/>
      <c r="D1" s="195"/>
      <c r="E1" s="195"/>
      <c r="F1" s="195"/>
      <c r="G1" s="195"/>
      <c r="H1" s="195"/>
      <c r="I1" s="195"/>
      <c r="J1" s="195"/>
      <c r="K1" s="195"/>
      <c r="L1" s="195"/>
      <c r="M1" s="195"/>
      <c r="N1" s="196"/>
    </row>
    <row r="2" spans="1:14" ht="21" customHeight="1">
      <c r="A2" s="199"/>
      <c r="B2" s="200"/>
      <c r="C2" s="200"/>
      <c r="D2" s="200"/>
      <c r="E2" s="200"/>
      <c r="F2" s="200"/>
      <c r="G2" s="200"/>
      <c r="H2" s="200"/>
      <c r="I2" s="200"/>
      <c r="J2" s="200"/>
      <c r="K2" s="200"/>
      <c r="L2" s="200"/>
      <c r="M2" s="200"/>
      <c r="N2" s="201"/>
    </row>
    <row r="3" spans="1:14" ht="21" customHeight="1">
      <c r="A3" s="202"/>
      <c r="B3" s="203"/>
      <c r="C3" s="203"/>
      <c r="D3" s="203"/>
      <c r="E3" s="203"/>
      <c r="F3" s="203"/>
      <c r="G3" s="203"/>
      <c r="H3" s="203"/>
      <c r="I3" s="203"/>
      <c r="J3" s="203"/>
      <c r="K3" s="203"/>
      <c r="L3" s="203"/>
      <c r="M3" s="203"/>
      <c r="N3" s="204"/>
    </row>
    <row r="4" spans="1:14" ht="36">
      <c r="A4" s="164" t="s">
        <v>1</v>
      </c>
      <c r="B4" s="164" t="s">
        <v>2</v>
      </c>
      <c r="C4" s="164" t="s">
        <v>3</v>
      </c>
      <c r="N4" s="165"/>
    </row>
    <row r="5" spans="1:14" ht="15.6">
      <c r="A5" s="166">
        <v>1000</v>
      </c>
      <c r="B5" s="167" t="s">
        <v>4</v>
      </c>
      <c r="C5" s="168">
        <f>'Takeoff Breakdown'!Q15</f>
        <v>15000</v>
      </c>
      <c r="N5" s="165"/>
    </row>
    <row r="6" spans="1:14" ht="16.2" thickBot="1">
      <c r="A6" s="169">
        <v>23000</v>
      </c>
      <c r="B6" s="170" t="s">
        <v>5</v>
      </c>
      <c r="C6" s="171">
        <f>'Takeoff Breakdown'!Q333</f>
        <v>246455.93554212511</v>
      </c>
      <c r="N6" s="165"/>
    </row>
    <row r="7" spans="1:14" ht="15.6">
      <c r="A7" s="197" t="s">
        <v>6</v>
      </c>
      <c r="B7" s="197"/>
      <c r="C7" s="172">
        <f>SUM(C5:C6)</f>
        <v>261455.93554212511</v>
      </c>
      <c r="E7" s="173"/>
      <c r="N7" s="165"/>
    </row>
    <row r="8" spans="1:14" ht="15.6">
      <c r="A8" s="198"/>
      <c r="B8" s="198"/>
      <c r="C8" s="198"/>
      <c r="N8" s="165"/>
    </row>
    <row r="9" spans="1:14" ht="15.6">
      <c r="A9" s="174" t="s">
        <v>7</v>
      </c>
      <c r="B9" s="175">
        <v>0.05</v>
      </c>
      <c r="C9" s="189">
        <f>C7*B9</f>
        <v>13072.796777106256</v>
      </c>
      <c r="D9" s="173"/>
      <c r="E9" s="173"/>
      <c r="N9" s="165"/>
    </row>
    <row r="10" spans="1:14" ht="15.6">
      <c r="A10" s="174" t="s">
        <v>369</v>
      </c>
      <c r="B10" s="175">
        <v>0.1</v>
      </c>
      <c r="C10" s="189">
        <f>C7*B10</f>
        <v>26145.593554212512</v>
      </c>
      <c r="N10" s="165"/>
    </row>
    <row r="11" spans="1:14" ht="15.6">
      <c r="A11" s="176" t="s">
        <v>370</v>
      </c>
      <c r="B11" s="183">
        <v>7.2499999999999995E-2</v>
      </c>
      <c r="C11" s="190">
        <f>B11*SUM('Takeoff Breakdown'!O17:O333)</f>
        <v>11644.679065225309</v>
      </c>
      <c r="N11" s="165"/>
    </row>
    <row r="12" spans="1:14" ht="15.6">
      <c r="A12" s="177" t="s">
        <v>8</v>
      </c>
      <c r="B12" s="178">
        <v>1.4999999999999999E-2</v>
      </c>
      <c r="C12" s="191">
        <f>C7*B12</f>
        <v>3921.8390331318765</v>
      </c>
      <c r="N12" s="165"/>
    </row>
    <row r="13" spans="1:14" ht="15.6">
      <c r="A13" s="177" t="s">
        <v>9</v>
      </c>
      <c r="B13" s="178"/>
      <c r="C13" s="191">
        <f>SUM(C7,C9:C12)</f>
        <v>316240.84397180111</v>
      </c>
      <c r="D13" s="179"/>
      <c r="E13" s="180"/>
      <c r="F13" s="180"/>
      <c r="G13" s="180"/>
      <c r="H13" s="180"/>
      <c r="I13" s="180"/>
      <c r="J13" s="180"/>
      <c r="K13" s="180"/>
      <c r="L13" s="180"/>
      <c r="M13" s="180"/>
      <c r="N13" s="181"/>
    </row>
    <row r="23" spans="3:3">
      <c r="C23" s="163"/>
    </row>
  </sheetData>
  <mergeCells count="4">
    <mergeCell ref="A1:N1"/>
    <mergeCell ref="A7:B7"/>
    <mergeCell ref="A8:C8"/>
    <mergeCell ref="A2:N3"/>
  </mergeCells>
  <pageMargins left="0.7" right="0.7" top="0.75" bottom="0.75" header="0.3" footer="0.3"/>
  <pageSetup scale="5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pageSetUpPr fitToPage="1"/>
  </sheetPr>
  <dimension ref="A1:AJ342"/>
  <sheetViews>
    <sheetView showGridLines="0" tabSelected="1" zoomScale="80" zoomScaleNormal="80" zoomScaleSheetLayoutView="85" workbookViewId="0">
      <pane ySplit="6" topLeftCell="A7" activePane="bottomLeft" state="frozen"/>
      <selection pane="bottomLeft" activeCell="D4" sqref="D4"/>
    </sheetView>
  </sheetViews>
  <sheetFormatPr defaultColWidth="9" defaultRowHeight="15.6"/>
  <cols>
    <col min="1" max="1" width="4.59765625" style="27" customWidth="1"/>
    <col min="2" max="2" width="9.19921875" style="27" customWidth="1"/>
    <col min="3" max="3" width="9.5" style="27" customWidth="1"/>
    <col min="4" max="4" width="80.5" style="27" customWidth="1"/>
    <col min="5" max="6" width="11.5" style="28" customWidth="1"/>
    <col min="7" max="7" width="14" style="28" customWidth="1"/>
    <col min="8" max="8" width="10.5" style="27" customWidth="1"/>
    <col min="9" max="10" width="14" style="28" customWidth="1"/>
    <col min="11" max="12" width="12.5" style="27" customWidth="1"/>
    <col min="13" max="13" width="14.5" style="27" customWidth="1"/>
    <col min="14" max="14" width="19.09765625" style="27" customWidth="1"/>
    <col min="15" max="15" width="14.59765625" style="27" customWidth="1"/>
    <col min="16" max="16" width="12.5" style="27" customWidth="1"/>
    <col min="17" max="17" width="15.19921875" style="29" customWidth="1"/>
    <col min="18" max="18" width="10.59765625" style="27" bestFit="1" customWidth="1"/>
    <col min="19" max="16384" width="9" style="27"/>
  </cols>
  <sheetData>
    <row r="1" spans="1:18" s="26" customFormat="1" ht="15" customHeight="1">
      <c r="A1" s="30"/>
      <c r="B1" s="31"/>
      <c r="C1" s="31"/>
      <c r="D1" s="31"/>
      <c r="E1" s="31"/>
      <c r="F1" s="31"/>
      <c r="G1" s="31"/>
      <c r="H1" s="31"/>
      <c r="I1" s="31"/>
      <c r="J1" s="31"/>
      <c r="K1" s="31"/>
      <c r="L1" s="31"/>
      <c r="M1" s="31"/>
      <c r="N1" s="31"/>
      <c r="O1" s="31"/>
      <c r="P1" s="31"/>
      <c r="Q1" s="31"/>
    </row>
    <row r="2" spans="1:18" ht="18">
      <c r="A2" s="205" t="s">
        <v>10</v>
      </c>
      <c r="B2" s="206"/>
      <c r="C2" s="206"/>
      <c r="D2" s="206"/>
      <c r="E2" s="206"/>
      <c r="F2" s="206"/>
      <c r="G2" s="206"/>
      <c r="H2" s="206"/>
      <c r="I2" s="206"/>
      <c r="J2" s="206"/>
      <c r="K2" s="206"/>
      <c r="L2" s="206"/>
      <c r="M2" s="206"/>
      <c r="N2" s="206"/>
      <c r="O2" s="206"/>
      <c r="P2" s="206"/>
      <c r="Q2" s="207"/>
    </row>
    <row r="3" spans="1:18" ht="17.399999999999999" customHeight="1">
      <c r="A3" s="32"/>
      <c r="B3" s="208" t="s">
        <v>11</v>
      </c>
      <c r="C3" s="208"/>
      <c r="D3" s="27" t="s">
        <v>375</v>
      </c>
      <c r="E3" s="33"/>
      <c r="F3" s="33"/>
      <c r="G3" s="34"/>
      <c r="H3" s="34"/>
      <c r="I3" s="34"/>
      <c r="J3" s="34"/>
      <c r="K3" s="34"/>
      <c r="L3" s="34"/>
      <c r="M3" s="34"/>
      <c r="N3" s="34"/>
      <c r="O3" s="41"/>
      <c r="P3" s="42"/>
      <c r="Q3" s="46"/>
    </row>
    <row r="4" spans="1:18" ht="18" customHeight="1">
      <c r="A4" s="32"/>
      <c r="B4" s="209" t="s">
        <v>12</v>
      </c>
      <c r="C4" s="209"/>
      <c r="D4" s="27" t="s">
        <v>376</v>
      </c>
      <c r="E4" s="35"/>
      <c r="F4" s="35"/>
      <c r="G4" s="35"/>
      <c r="H4" s="36"/>
      <c r="I4" s="35"/>
      <c r="J4" s="35"/>
      <c r="K4" s="34"/>
      <c r="L4" s="34"/>
      <c r="M4" s="34"/>
      <c r="N4" s="34"/>
      <c r="O4" s="41"/>
      <c r="P4" s="42"/>
      <c r="Q4" s="46"/>
    </row>
    <row r="5" spans="1:18" ht="24" customHeight="1">
      <c r="A5" s="32"/>
      <c r="B5" s="210" t="s">
        <v>13</v>
      </c>
      <c r="C5" s="210"/>
      <c r="D5" s="27" t="s">
        <v>5</v>
      </c>
      <c r="E5" s="37"/>
      <c r="F5" s="35"/>
      <c r="G5" s="35"/>
      <c r="H5" s="37"/>
      <c r="I5" s="35"/>
      <c r="J5" s="35"/>
      <c r="K5" s="43"/>
      <c r="L5" s="43"/>
      <c r="M5" s="43"/>
      <c r="N5" s="43"/>
      <c r="O5" s="44"/>
      <c r="P5" s="45"/>
      <c r="Q5" s="46"/>
    </row>
    <row r="6" spans="1:18" s="26" customFormat="1" ht="59.4" customHeight="1">
      <c r="A6" s="38" t="s">
        <v>14</v>
      </c>
      <c r="B6" s="39" t="s">
        <v>15</v>
      </c>
      <c r="C6" s="39" t="s">
        <v>16</v>
      </c>
      <c r="D6" s="40" t="s">
        <v>2</v>
      </c>
      <c r="E6" s="39" t="s">
        <v>17</v>
      </c>
      <c r="F6" s="39" t="s">
        <v>18</v>
      </c>
      <c r="G6" s="39" t="s">
        <v>19</v>
      </c>
      <c r="H6" s="39" t="s">
        <v>20</v>
      </c>
      <c r="I6" s="39" t="s">
        <v>21</v>
      </c>
      <c r="J6" s="39" t="s">
        <v>22</v>
      </c>
      <c r="K6" s="39" t="s">
        <v>23</v>
      </c>
      <c r="L6" s="39" t="s">
        <v>24</v>
      </c>
      <c r="M6" s="39" t="s">
        <v>25</v>
      </c>
      <c r="N6" s="39" t="s">
        <v>26</v>
      </c>
      <c r="O6" s="39" t="s">
        <v>27</v>
      </c>
      <c r="P6" s="39" t="s">
        <v>28</v>
      </c>
      <c r="Q6" s="47" t="s">
        <v>29</v>
      </c>
    </row>
    <row r="7" spans="1:18" s="64" customFormat="1">
      <c r="A7" s="48"/>
      <c r="B7" s="49"/>
      <c r="C7" s="50">
        <v>1</v>
      </c>
      <c r="D7" s="51" t="s">
        <v>30</v>
      </c>
      <c r="E7" s="49"/>
      <c r="F7" s="49"/>
      <c r="G7" s="49"/>
      <c r="H7" s="49"/>
      <c r="I7" s="49"/>
      <c r="J7" s="49"/>
      <c r="K7" s="49"/>
      <c r="L7" s="49"/>
      <c r="M7" s="49"/>
      <c r="N7" s="49"/>
      <c r="O7" s="49"/>
      <c r="P7" s="49"/>
      <c r="Q7" s="52"/>
    </row>
    <row r="8" spans="1:18" s="76" customFormat="1">
      <c r="A8" s="65">
        <f>IF(F8&lt;&gt;"",1+MAX($A$2:A7),"")</f>
        <v>1</v>
      </c>
      <c r="B8" s="66"/>
      <c r="C8" s="66"/>
      <c r="D8" s="67" t="s">
        <v>31</v>
      </c>
      <c r="E8" s="68">
        <v>1</v>
      </c>
      <c r="F8" s="69">
        <v>0</v>
      </c>
      <c r="G8" s="70">
        <f t="shared" ref="G8:G14" si="0">(F8*E8)+E8</f>
        <v>1</v>
      </c>
      <c r="H8" s="68" t="s">
        <v>32</v>
      </c>
      <c r="I8" s="71">
        <v>0</v>
      </c>
      <c r="J8" s="72">
        <f t="shared" ref="J8:J14" si="1">+I8*G8</f>
        <v>0</v>
      </c>
      <c r="K8" s="73">
        <v>0</v>
      </c>
      <c r="L8" s="74">
        <f t="shared" ref="L8:L14" si="2">I8*K8</f>
        <v>0</v>
      </c>
      <c r="M8" s="74">
        <f t="shared" ref="M8:M14" si="3">K8*J8</f>
        <v>0</v>
      </c>
      <c r="N8" s="74">
        <v>0</v>
      </c>
      <c r="O8" s="74">
        <f t="shared" ref="O8:O14" si="4">N8*G8</f>
        <v>0</v>
      </c>
      <c r="P8" s="74">
        <f>(I8*K8)+N8</f>
        <v>0</v>
      </c>
      <c r="Q8" s="213">
        <v>15000</v>
      </c>
      <c r="R8" s="75"/>
    </row>
    <row r="9" spans="1:18" s="76" customFormat="1">
      <c r="A9" s="77">
        <f>IF(F9&lt;&gt;"",1+MAX($A$2:A8),"")</f>
        <v>2</v>
      </c>
      <c r="B9" s="78"/>
      <c r="C9" s="78"/>
      <c r="D9" s="57" t="s">
        <v>33</v>
      </c>
      <c r="E9" s="79">
        <v>1</v>
      </c>
      <c r="F9" s="80">
        <v>0</v>
      </c>
      <c r="G9" s="81">
        <f t="shared" si="0"/>
        <v>1</v>
      </c>
      <c r="H9" s="79" t="s">
        <v>32</v>
      </c>
      <c r="I9" s="71">
        <v>0</v>
      </c>
      <c r="J9" s="72">
        <f t="shared" si="1"/>
        <v>0</v>
      </c>
      <c r="K9" s="73">
        <v>0</v>
      </c>
      <c r="L9" s="74">
        <f t="shared" si="2"/>
        <v>0</v>
      </c>
      <c r="M9" s="74">
        <f t="shared" si="3"/>
        <v>0</v>
      </c>
      <c r="N9" s="74">
        <v>0</v>
      </c>
      <c r="O9" s="74">
        <f t="shared" si="4"/>
        <v>0</v>
      </c>
      <c r="P9" s="74">
        <f t="shared" ref="P9:P14" si="5">(I9*K9)+N9</f>
        <v>0</v>
      </c>
      <c r="Q9" s="214"/>
      <c r="R9" s="75"/>
    </row>
    <row r="10" spans="1:18" s="76" customFormat="1">
      <c r="A10" s="65">
        <f>IF(F10&lt;&gt;"",1+MAX($A$2:A9),"")</f>
        <v>3</v>
      </c>
      <c r="B10" s="78"/>
      <c r="C10" s="78"/>
      <c r="D10" s="57" t="s">
        <v>34</v>
      </c>
      <c r="E10" s="79">
        <v>1</v>
      </c>
      <c r="F10" s="80">
        <v>0</v>
      </c>
      <c r="G10" s="81">
        <f t="shared" si="0"/>
        <v>1</v>
      </c>
      <c r="H10" s="79" t="s">
        <v>32</v>
      </c>
      <c r="I10" s="71">
        <v>0</v>
      </c>
      <c r="J10" s="72">
        <f t="shared" si="1"/>
        <v>0</v>
      </c>
      <c r="K10" s="73">
        <v>0</v>
      </c>
      <c r="L10" s="74">
        <f t="shared" si="2"/>
        <v>0</v>
      </c>
      <c r="M10" s="74">
        <f t="shared" si="3"/>
        <v>0</v>
      </c>
      <c r="N10" s="74">
        <v>0</v>
      </c>
      <c r="O10" s="74">
        <f t="shared" si="4"/>
        <v>0</v>
      </c>
      <c r="P10" s="74">
        <f t="shared" si="5"/>
        <v>0</v>
      </c>
      <c r="Q10" s="214"/>
      <c r="R10" s="75"/>
    </row>
    <row r="11" spans="1:18" s="76" customFormat="1">
      <c r="A11" s="77">
        <f>IF(F11&lt;&gt;"",1+MAX($A$2:A10),"")</f>
        <v>4</v>
      </c>
      <c r="B11" s="78"/>
      <c r="C11" s="78"/>
      <c r="D11" s="57" t="s">
        <v>35</v>
      </c>
      <c r="E11" s="79">
        <v>1</v>
      </c>
      <c r="F11" s="80">
        <v>0</v>
      </c>
      <c r="G11" s="81">
        <f t="shared" si="0"/>
        <v>1</v>
      </c>
      <c r="H11" s="79" t="s">
        <v>32</v>
      </c>
      <c r="I11" s="71">
        <v>0</v>
      </c>
      <c r="J11" s="72">
        <f t="shared" si="1"/>
        <v>0</v>
      </c>
      <c r="K11" s="73">
        <v>0</v>
      </c>
      <c r="L11" s="74">
        <f t="shared" si="2"/>
        <v>0</v>
      </c>
      <c r="M11" s="74">
        <f t="shared" si="3"/>
        <v>0</v>
      </c>
      <c r="N11" s="74">
        <v>0</v>
      </c>
      <c r="O11" s="74">
        <f t="shared" si="4"/>
        <v>0</v>
      </c>
      <c r="P11" s="74">
        <f t="shared" si="5"/>
        <v>0</v>
      </c>
      <c r="Q11" s="214"/>
      <c r="R11" s="75"/>
    </row>
    <row r="12" spans="1:18" s="76" customFormat="1">
      <c r="A12" s="65">
        <f>IF(F12&lt;&gt;"",1+MAX($A$2:A11),"")</f>
        <v>5</v>
      </c>
      <c r="B12" s="78"/>
      <c r="C12" s="78"/>
      <c r="D12" s="57" t="s">
        <v>36</v>
      </c>
      <c r="E12" s="79">
        <v>1</v>
      </c>
      <c r="F12" s="80">
        <v>0</v>
      </c>
      <c r="G12" s="81">
        <f t="shared" si="0"/>
        <v>1</v>
      </c>
      <c r="H12" s="79" t="s">
        <v>32</v>
      </c>
      <c r="I12" s="71">
        <v>0</v>
      </c>
      <c r="J12" s="72">
        <f t="shared" si="1"/>
        <v>0</v>
      </c>
      <c r="K12" s="73">
        <v>0</v>
      </c>
      <c r="L12" s="74">
        <f t="shared" si="2"/>
        <v>0</v>
      </c>
      <c r="M12" s="74">
        <f t="shared" si="3"/>
        <v>0</v>
      </c>
      <c r="N12" s="74">
        <v>0</v>
      </c>
      <c r="O12" s="74">
        <f t="shared" si="4"/>
        <v>0</v>
      </c>
      <c r="P12" s="74">
        <f t="shared" si="5"/>
        <v>0</v>
      </c>
      <c r="Q12" s="214"/>
      <c r="R12" s="75"/>
    </row>
    <row r="13" spans="1:18" s="76" customFormat="1">
      <c r="A13" s="77">
        <f>IF(F13&lt;&gt;"",1+MAX($A$2:A12),"")</f>
        <v>6</v>
      </c>
      <c r="B13" s="78"/>
      <c r="C13" s="78"/>
      <c r="D13" s="57" t="s">
        <v>37</v>
      </c>
      <c r="E13" s="79">
        <v>1</v>
      </c>
      <c r="F13" s="80">
        <v>0</v>
      </c>
      <c r="G13" s="81">
        <f t="shared" si="0"/>
        <v>1</v>
      </c>
      <c r="H13" s="79" t="s">
        <v>32</v>
      </c>
      <c r="I13" s="71">
        <v>0</v>
      </c>
      <c r="J13" s="72">
        <f t="shared" si="1"/>
        <v>0</v>
      </c>
      <c r="K13" s="73">
        <v>0</v>
      </c>
      <c r="L13" s="74">
        <f t="shared" si="2"/>
        <v>0</v>
      </c>
      <c r="M13" s="74">
        <f t="shared" si="3"/>
        <v>0</v>
      </c>
      <c r="N13" s="74">
        <v>0</v>
      </c>
      <c r="O13" s="74">
        <f t="shared" si="4"/>
        <v>0</v>
      </c>
      <c r="P13" s="74">
        <f t="shared" si="5"/>
        <v>0</v>
      </c>
      <c r="Q13" s="214"/>
      <c r="R13" s="75"/>
    </row>
    <row r="14" spans="1:18" s="76" customFormat="1" ht="16.2" thickBot="1">
      <c r="A14" s="65">
        <f>IF(F14&lt;&gt;"",1+MAX($A$2:A13),"")</f>
        <v>7</v>
      </c>
      <c r="B14" s="78"/>
      <c r="C14" s="78"/>
      <c r="D14" s="82" t="s">
        <v>38</v>
      </c>
      <c r="E14" s="83">
        <v>1</v>
      </c>
      <c r="F14" s="84">
        <v>0</v>
      </c>
      <c r="G14" s="85">
        <f t="shared" si="0"/>
        <v>1</v>
      </c>
      <c r="H14" s="83" t="s">
        <v>32</v>
      </c>
      <c r="I14" s="86">
        <v>0</v>
      </c>
      <c r="J14" s="87">
        <f t="shared" si="1"/>
        <v>0</v>
      </c>
      <c r="K14" s="88">
        <v>0</v>
      </c>
      <c r="L14" s="89">
        <f t="shared" si="2"/>
        <v>0</v>
      </c>
      <c r="M14" s="89">
        <f t="shared" si="3"/>
        <v>0</v>
      </c>
      <c r="N14" s="89">
        <v>0</v>
      </c>
      <c r="O14" s="89">
        <f t="shared" si="4"/>
        <v>0</v>
      </c>
      <c r="P14" s="74">
        <f t="shared" si="5"/>
        <v>0</v>
      </c>
      <c r="Q14" s="215"/>
      <c r="R14" s="75"/>
    </row>
    <row r="15" spans="1:18" s="96" customFormat="1" ht="16.2" thickBot="1">
      <c r="A15" s="77" t="str">
        <f>IF(F15&lt;&gt;"",1+MAX($A$2:A14),"")</f>
        <v/>
      </c>
      <c r="B15" s="90"/>
      <c r="C15" s="91"/>
      <c r="D15" s="53" t="s">
        <v>39</v>
      </c>
      <c r="E15" s="92"/>
      <c r="F15" s="92"/>
      <c r="G15" s="92"/>
      <c r="H15" s="92"/>
      <c r="I15" s="92"/>
      <c r="J15" s="92"/>
      <c r="K15" s="93"/>
      <c r="L15" s="93"/>
      <c r="M15" s="93"/>
      <c r="N15" s="93"/>
      <c r="O15" s="93"/>
      <c r="P15" s="93"/>
      <c r="Q15" s="94">
        <f>SUM(Q8:Q14)</f>
        <v>15000</v>
      </c>
      <c r="R15" s="95"/>
    </row>
    <row r="16" spans="1:18" s="96" customFormat="1">
      <c r="A16" s="65" t="str">
        <f>IF(F16&lt;&gt;"",1+MAX($A$2:A15),"")</f>
        <v/>
      </c>
      <c r="B16" s="90"/>
      <c r="C16" s="90"/>
      <c r="D16" s="97"/>
      <c r="E16" s="97"/>
      <c r="F16" s="97"/>
      <c r="G16" s="97"/>
      <c r="H16" s="97"/>
      <c r="I16" s="97"/>
      <c r="J16" s="97"/>
      <c r="K16" s="97"/>
      <c r="L16" s="97"/>
      <c r="M16" s="97"/>
      <c r="N16" s="97"/>
      <c r="O16" s="97"/>
      <c r="P16" s="97"/>
      <c r="Q16" s="98"/>
      <c r="R16" s="95"/>
    </row>
    <row r="17" spans="1:36" s="99" customFormat="1">
      <c r="A17" s="49" t="str">
        <f>IF(F17&lt;&gt;"",1+MAX($A$2:A16),"")</f>
        <v/>
      </c>
      <c r="B17" s="49"/>
      <c r="C17" s="49">
        <v>23</v>
      </c>
      <c r="D17" s="51" t="s">
        <v>40</v>
      </c>
      <c r="E17" s="49"/>
      <c r="F17" s="49"/>
      <c r="G17" s="49"/>
      <c r="H17" s="49"/>
      <c r="I17" s="49"/>
      <c r="J17" s="49"/>
      <c r="K17" s="49"/>
      <c r="L17" s="49"/>
      <c r="M17" s="49"/>
      <c r="N17" s="49"/>
      <c r="O17" s="49"/>
      <c r="P17" s="49"/>
      <c r="Q17" s="54"/>
      <c r="S17" s="100"/>
    </row>
    <row r="18" spans="1:36" s="99" customFormat="1">
      <c r="A18" s="65" t="str">
        <f>IF(F18&lt;&gt;"",1+MAX($A$2:A17),"")</f>
        <v/>
      </c>
      <c r="B18" s="55"/>
      <c r="C18" s="81"/>
      <c r="D18" s="101" t="s">
        <v>41</v>
      </c>
      <c r="E18" s="79"/>
      <c r="F18" s="79"/>
      <c r="G18" s="79"/>
      <c r="H18" s="79"/>
      <c r="I18" s="102"/>
      <c r="J18" s="103"/>
      <c r="K18" s="104"/>
      <c r="L18" s="74"/>
      <c r="M18" s="74"/>
      <c r="N18" s="74"/>
      <c r="O18" s="74"/>
      <c r="P18" s="74"/>
      <c r="Q18" s="105"/>
      <c r="R18" s="106"/>
      <c r="S18" s="106"/>
      <c r="T18" s="106"/>
      <c r="U18" s="106"/>
      <c r="V18" s="106"/>
      <c r="W18" s="106"/>
      <c r="X18" s="106"/>
      <c r="Y18" s="106"/>
      <c r="Z18" s="106"/>
      <c r="AA18" s="106"/>
      <c r="AB18" s="106"/>
      <c r="AC18" s="106"/>
      <c r="AD18" s="106"/>
      <c r="AE18" s="106"/>
      <c r="AF18" s="106"/>
      <c r="AG18" s="106"/>
      <c r="AH18" s="106"/>
      <c r="AI18" s="106"/>
      <c r="AJ18" s="106"/>
    </row>
    <row r="19" spans="1:36" s="99" customFormat="1" ht="109.2">
      <c r="A19" s="77">
        <f>IF(F19&lt;&gt;"",1+MAX($A$2:A18),"")</f>
        <v>8</v>
      </c>
      <c r="B19" s="56"/>
      <c r="C19" s="107"/>
      <c r="D19" s="57" t="s">
        <v>42</v>
      </c>
      <c r="E19" s="81">
        <v>1</v>
      </c>
      <c r="F19" s="108">
        <v>0</v>
      </c>
      <c r="G19" s="109">
        <f>E19*(1+F19)</f>
        <v>1</v>
      </c>
      <c r="H19" s="79" t="s">
        <v>43</v>
      </c>
      <c r="I19" s="71">
        <v>4</v>
      </c>
      <c r="J19" s="72">
        <f>+I19*G19</f>
        <v>4</v>
      </c>
      <c r="K19" s="73">
        <f>'LABOR SHEET'!C$3</f>
        <v>46.5</v>
      </c>
      <c r="L19" s="74">
        <f>I19*K19</f>
        <v>186</v>
      </c>
      <c r="M19" s="74">
        <f>K19*J19</f>
        <v>186</v>
      </c>
      <c r="N19" s="74">
        <v>625</v>
      </c>
      <c r="O19" s="74">
        <f>N19*G19</f>
        <v>625</v>
      </c>
      <c r="P19" s="74">
        <f>(I19*K19)+N19</f>
        <v>811</v>
      </c>
      <c r="Q19" s="58">
        <f>P19*G19</f>
        <v>811</v>
      </c>
      <c r="R19" s="106"/>
      <c r="S19" s="106"/>
      <c r="T19" s="106"/>
      <c r="U19" s="106"/>
      <c r="V19" s="106"/>
      <c r="W19" s="106"/>
      <c r="X19" s="106"/>
      <c r="Y19" s="106"/>
      <c r="Z19" s="106"/>
      <c r="AA19" s="106"/>
      <c r="AB19" s="106"/>
      <c r="AC19" s="106"/>
      <c r="AD19" s="106"/>
      <c r="AE19" s="106"/>
      <c r="AF19" s="106"/>
      <c r="AG19" s="106"/>
      <c r="AH19" s="106"/>
      <c r="AI19" s="106"/>
      <c r="AJ19" s="106"/>
    </row>
    <row r="20" spans="1:36" s="99" customFormat="1" ht="109.2">
      <c r="A20" s="65">
        <f>IF(F20&lt;&gt;"",1+MAX($A$2:A19),"")</f>
        <v>9</v>
      </c>
      <c r="B20" s="56"/>
      <c r="C20" s="107"/>
      <c r="D20" s="57" t="s">
        <v>44</v>
      </c>
      <c r="E20" s="81">
        <v>1</v>
      </c>
      <c r="F20" s="108">
        <v>0</v>
      </c>
      <c r="G20" s="109">
        <f>E20*(1+F20)</f>
        <v>1</v>
      </c>
      <c r="H20" s="79" t="s">
        <v>43</v>
      </c>
      <c r="I20" s="71">
        <v>4</v>
      </c>
      <c r="J20" s="72">
        <f t="shared" ref="J20:J21" si="6">+I20*G20</f>
        <v>4</v>
      </c>
      <c r="K20" s="73">
        <f>'LABOR SHEET'!C$3</f>
        <v>46.5</v>
      </c>
      <c r="L20" s="74">
        <f t="shared" ref="L20:L21" si="7">I20*K20</f>
        <v>186</v>
      </c>
      <c r="M20" s="74">
        <f t="shared" ref="M20:M21" si="8">K20*J20</f>
        <v>186</v>
      </c>
      <c r="N20" s="74">
        <v>625</v>
      </c>
      <c r="O20" s="74">
        <f t="shared" ref="O20:O21" si="9">N20*G20</f>
        <v>625</v>
      </c>
      <c r="P20" s="74">
        <f t="shared" ref="P20:P21" si="10">(I20*K20)+N20</f>
        <v>811</v>
      </c>
      <c r="Q20" s="58">
        <f t="shared" ref="Q20:Q21" si="11">P20*G20</f>
        <v>811</v>
      </c>
      <c r="R20" s="106"/>
      <c r="S20" s="106"/>
      <c r="T20" s="106"/>
      <c r="U20" s="106"/>
      <c r="V20" s="106"/>
      <c r="W20" s="106"/>
      <c r="X20" s="106"/>
      <c r="Y20" s="106"/>
      <c r="Z20" s="106"/>
      <c r="AA20" s="106"/>
      <c r="AB20" s="106"/>
      <c r="AC20" s="106"/>
      <c r="AD20" s="106"/>
      <c r="AE20" s="106"/>
      <c r="AF20" s="106"/>
      <c r="AG20" s="106"/>
      <c r="AH20" s="106"/>
      <c r="AI20" s="106"/>
      <c r="AJ20" s="106"/>
    </row>
    <row r="21" spans="1:36" s="99" customFormat="1" ht="109.2">
      <c r="A21" s="77">
        <f>IF(F21&lt;&gt;"",1+MAX($A$2:A20),"")</f>
        <v>10</v>
      </c>
      <c r="B21" s="56"/>
      <c r="C21" s="107"/>
      <c r="D21" s="57" t="s">
        <v>45</v>
      </c>
      <c r="E21" s="81">
        <v>1</v>
      </c>
      <c r="F21" s="108">
        <v>0</v>
      </c>
      <c r="G21" s="109">
        <f t="shared" ref="G21:G27" si="12">E21*(1+F21)</f>
        <v>1</v>
      </c>
      <c r="H21" s="79" t="s">
        <v>43</v>
      </c>
      <c r="I21" s="71">
        <v>4</v>
      </c>
      <c r="J21" s="72">
        <f t="shared" si="6"/>
        <v>4</v>
      </c>
      <c r="K21" s="73">
        <f>'LABOR SHEET'!C$3</f>
        <v>46.5</v>
      </c>
      <c r="L21" s="74">
        <f t="shared" si="7"/>
        <v>186</v>
      </c>
      <c r="M21" s="74">
        <f t="shared" si="8"/>
        <v>186</v>
      </c>
      <c r="N21" s="74">
        <v>625</v>
      </c>
      <c r="O21" s="74">
        <f t="shared" si="9"/>
        <v>625</v>
      </c>
      <c r="P21" s="74">
        <f t="shared" si="10"/>
        <v>811</v>
      </c>
      <c r="Q21" s="58">
        <f t="shared" si="11"/>
        <v>811</v>
      </c>
      <c r="R21" s="106"/>
      <c r="S21" s="106"/>
      <c r="T21" s="106"/>
      <c r="U21" s="106"/>
      <c r="V21" s="106"/>
      <c r="W21" s="106"/>
      <c r="X21" s="106"/>
      <c r="Y21" s="106"/>
      <c r="Z21" s="106"/>
      <c r="AA21" s="106"/>
      <c r="AB21" s="106"/>
      <c r="AC21" s="106"/>
      <c r="AD21" s="106"/>
      <c r="AE21" s="106"/>
      <c r="AF21" s="106"/>
      <c r="AG21" s="106"/>
      <c r="AH21" s="106"/>
      <c r="AI21" s="106"/>
      <c r="AJ21" s="106"/>
    </row>
    <row r="22" spans="1:36" s="99" customFormat="1" ht="109.2">
      <c r="A22" s="65">
        <f>IF(F22&lt;&gt;"",1+MAX($A$2:A21),"")</f>
        <v>11</v>
      </c>
      <c r="B22" s="56"/>
      <c r="C22" s="107"/>
      <c r="D22" s="57" t="s">
        <v>46</v>
      </c>
      <c r="E22" s="81">
        <v>1</v>
      </c>
      <c r="F22" s="108">
        <v>0</v>
      </c>
      <c r="G22" s="109">
        <f t="shared" si="12"/>
        <v>1</v>
      </c>
      <c r="H22" s="79" t="s">
        <v>43</v>
      </c>
      <c r="I22" s="71">
        <v>4.25</v>
      </c>
      <c r="J22" s="72">
        <f t="shared" ref="J22:J27" si="13">+I22*G22</f>
        <v>4.25</v>
      </c>
      <c r="K22" s="73">
        <f>'LABOR SHEET'!C$3</f>
        <v>46.5</v>
      </c>
      <c r="L22" s="74">
        <f t="shared" ref="L22:L27" si="14">I22*K22</f>
        <v>197.625</v>
      </c>
      <c r="M22" s="74">
        <f t="shared" ref="M22:M27" si="15">K22*J22</f>
        <v>197.625</v>
      </c>
      <c r="N22" s="74">
        <v>686</v>
      </c>
      <c r="O22" s="74">
        <f t="shared" ref="O22:O27" si="16">N22*G22</f>
        <v>686</v>
      </c>
      <c r="P22" s="74">
        <f t="shared" ref="P22:P27" si="17">(I22*K22)+N22</f>
        <v>883.625</v>
      </c>
      <c r="Q22" s="58">
        <f t="shared" ref="Q22:Q27" si="18">P22*G22</f>
        <v>883.625</v>
      </c>
      <c r="R22" s="106"/>
      <c r="S22" s="106"/>
      <c r="T22" s="106"/>
      <c r="U22" s="106"/>
      <c r="V22" s="106"/>
      <c r="W22" s="106"/>
      <c r="X22" s="106"/>
      <c r="Y22" s="106"/>
      <c r="Z22" s="106"/>
      <c r="AA22" s="106"/>
      <c r="AB22" s="106"/>
      <c r="AC22" s="106"/>
      <c r="AD22" s="106"/>
      <c r="AE22" s="106"/>
      <c r="AF22" s="106"/>
      <c r="AG22" s="106"/>
      <c r="AH22" s="106"/>
      <c r="AI22" s="106"/>
      <c r="AJ22" s="106"/>
    </row>
    <row r="23" spans="1:36" s="99" customFormat="1" ht="109.2">
      <c r="A23" s="77">
        <f>IF(F23&lt;&gt;"",1+MAX($A$2:A22),"")</f>
        <v>12</v>
      </c>
      <c r="B23" s="56"/>
      <c r="C23" s="107"/>
      <c r="D23" s="57" t="s">
        <v>47</v>
      </c>
      <c r="E23" s="81">
        <v>1</v>
      </c>
      <c r="F23" s="108">
        <v>0</v>
      </c>
      <c r="G23" s="109">
        <f t="shared" si="12"/>
        <v>1</v>
      </c>
      <c r="H23" s="79" t="s">
        <v>43</v>
      </c>
      <c r="I23" s="71">
        <v>4.25</v>
      </c>
      <c r="J23" s="72">
        <f t="shared" ref="J23" si="19">+I23*G23</f>
        <v>4.25</v>
      </c>
      <c r="K23" s="73">
        <f>'LABOR SHEET'!C$3</f>
        <v>46.5</v>
      </c>
      <c r="L23" s="74">
        <f t="shared" ref="L23" si="20">I23*K23</f>
        <v>197.625</v>
      </c>
      <c r="M23" s="74">
        <f t="shared" ref="M23" si="21">K23*J23</f>
        <v>197.625</v>
      </c>
      <c r="N23" s="74">
        <v>686</v>
      </c>
      <c r="O23" s="74">
        <f t="shared" ref="O23" si="22">N23*G23</f>
        <v>686</v>
      </c>
      <c r="P23" s="74">
        <f t="shared" ref="P23" si="23">(I23*K23)+N23</f>
        <v>883.625</v>
      </c>
      <c r="Q23" s="58">
        <f t="shared" ref="Q23" si="24">P23*G23</f>
        <v>883.625</v>
      </c>
      <c r="R23" s="106"/>
      <c r="S23" s="106"/>
      <c r="T23" s="106"/>
      <c r="U23" s="106"/>
      <c r="V23" s="106"/>
      <c r="W23" s="106"/>
      <c r="X23" s="106"/>
      <c r="Y23" s="106"/>
      <c r="Z23" s="106"/>
      <c r="AA23" s="106"/>
      <c r="AB23" s="106"/>
      <c r="AC23" s="106"/>
      <c r="AD23" s="106"/>
      <c r="AE23" s="106"/>
      <c r="AF23" s="106"/>
      <c r="AG23" s="106"/>
      <c r="AH23" s="106"/>
      <c r="AI23" s="106"/>
      <c r="AJ23" s="106"/>
    </row>
    <row r="24" spans="1:36" s="99" customFormat="1" ht="109.2">
      <c r="A24" s="65">
        <f>IF(F24&lt;&gt;"",1+MAX($A$2:A23),"")</f>
        <v>13</v>
      </c>
      <c r="B24" s="56"/>
      <c r="C24" s="107"/>
      <c r="D24" s="57" t="s">
        <v>48</v>
      </c>
      <c r="E24" s="81">
        <v>1</v>
      </c>
      <c r="F24" s="108">
        <v>0</v>
      </c>
      <c r="G24" s="109">
        <f t="shared" si="12"/>
        <v>1</v>
      </c>
      <c r="H24" s="79" t="s">
        <v>43</v>
      </c>
      <c r="I24" s="71">
        <v>4.6500000000000004</v>
      </c>
      <c r="J24" s="72">
        <f t="shared" si="13"/>
        <v>4.6500000000000004</v>
      </c>
      <c r="K24" s="73">
        <f>'LABOR SHEET'!C$3</f>
        <v>46.5</v>
      </c>
      <c r="L24" s="74">
        <f t="shared" si="14"/>
        <v>216.22500000000002</v>
      </c>
      <c r="M24" s="74">
        <f t="shared" si="15"/>
        <v>216.22500000000002</v>
      </c>
      <c r="N24" s="74">
        <v>743</v>
      </c>
      <c r="O24" s="74">
        <f t="shared" si="16"/>
        <v>743</v>
      </c>
      <c r="P24" s="74">
        <f t="shared" si="17"/>
        <v>959.22500000000002</v>
      </c>
      <c r="Q24" s="58">
        <f t="shared" si="18"/>
        <v>959.22500000000002</v>
      </c>
      <c r="R24" s="106"/>
      <c r="S24" s="106"/>
      <c r="T24" s="106"/>
      <c r="U24" s="106"/>
      <c r="V24" s="106"/>
      <c r="W24" s="106"/>
      <c r="X24" s="106"/>
      <c r="Y24" s="106"/>
      <c r="Z24" s="106"/>
      <c r="AA24" s="106"/>
      <c r="AB24" s="106"/>
      <c r="AC24" s="106"/>
      <c r="AD24" s="106"/>
      <c r="AE24" s="106"/>
      <c r="AF24" s="106"/>
      <c r="AG24" s="106"/>
      <c r="AH24" s="106"/>
      <c r="AI24" s="106"/>
      <c r="AJ24" s="106"/>
    </row>
    <row r="25" spans="1:36" s="99" customFormat="1" ht="109.2">
      <c r="A25" s="77">
        <f>IF(F25&lt;&gt;"",1+MAX($A$2:A24),"")</f>
        <v>14</v>
      </c>
      <c r="B25" s="56"/>
      <c r="C25" s="107"/>
      <c r="D25" s="57" t="s">
        <v>49</v>
      </c>
      <c r="E25" s="81">
        <v>1</v>
      </c>
      <c r="F25" s="108">
        <v>0</v>
      </c>
      <c r="G25" s="109">
        <f t="shared" si="12"/>
        <v>1</v>
      </c>
      <c r="H25" s="79" t="s">
        <v>43</v>
      </c>
      <c r="I25" s="71">
        <v>4.6500000000000004</v>
      </c>
      <c r="J25" s="72">
        <f t="shared" ref="J25:J26" si="25">+I25*G25</f>
        <v>4.6500000000000004</v>
      </c>
      <c r="K25" s="73">
        <f>'LABOR SHEET'!C$3</f>
        <v>46.5</v>
      </c>
      <c r="L25" s="74">
        <f t="shared" ref="L25:L26" si="26">I25*K25</f>
        <v>216.22500000000002</v>
      </c>
      <c r="M25" s="74">
        <f t="shared" ref="M25:M26" si="27">K25*J25</f>
        <v>216.22500000000002</v>
      </c>
      <c r="N25" s="74">
        <v>743</v>
      </c>
      <c r="O25" s="74">
        <f t="shared" ref="O25:O26" si="28">N25*G25</f>
        <v>743</v>
      </c>
      <c r="P25" s="74">
        <f t="shared" ref="P25:P26" si="29">(I25*K25)+N25</f>
        <v>959.22500000000002</v>
      </c>
      <c r="Q25" s="58">
        <f t="shared" ref="Q25:Q26" si="30">P25*G25</f>
        <v>959.22500000000002</v>
      </c>
      <c r="R25" s="106"/>
      <c r="S25" s="106"/>
      <c r="T25" s="106"/>
      <c r="U25" s="106"/>
      <c r="V25" s="106"/>
      <c r="W25" s="106"/>
      <c r="X25" s="106"/>
      <c r="Y25" s="106"/>
      <c r="Z25" s="106"/>
      <c r="AA25" s="106"/>
      <c r="AB25" s="106"/>
      <c r="AC25" s="106"/>
      <c r="AD25" s="106"/>
      <c r="AE25" s="106"/>
      <c r="AF25" s="106"/>
      <c r="AG25" s="106"/>
      <c r="AH25" s="106"/>
      <c r="AI25" s="106"/>
      <c r="AJ25" s="106"/>
    </row>
    <row r="26" spans="1:36" s="99" customFormat="1" ht="109.2">
      <c r="A26" s="65">
        <f>IF(F26&lt;&gt;"",1+MAX($A$2:A25),"")</f>
        <v>15</v>
      </c>
      <c r="B26" s="56"/>
      <c r="C26" s="107"/>
      <c r="D26" s="57" t="s">
        <v>50</v>
      </c>
      <c r="E26" s="81">
        <v>1</v>
      </c>
      <c r="F26" s="108">
        <v>0</v>
      </c>
      <c r="G26" s="109">
        <f t="shared" si="12"/>
        <v>1</v>
      </c>
      <c r="H26" s="79" t="s">
        <v>43</v>
      </c>
      <c r="I26" s="71">
        <v>4.6500000000000004</v>
      </c>
      <c r="J26" s="72">
        <f t="shared" si="25"/>
        <v>4.6500000000000004</v>
      </c>
      <c r="K26" s="73">
        <f>'LABOR SHEET'!C$3</f>
        <v>46.5</v>
      </c>
      <c r="L26" s="74">
        <f t="shared" si="26"/>
        <v>216.22500000000002</v>
      </c>
      <c r="M26" s="74">
        <f t="shared" si="27"/>
        <v>216.22500000000002</v>
      </c>
      <c r="N26" s="74">
        <v>743</v>
      </c>
      <c r="O26" s="74">
        <f t="shared" si="28"/>
        <v>743</v>
      </c>
      <c r="P26" s="74">
        <f t="shared" si="29"/>
        <v>959.22500000000002</v>
      </c>
      <c r="Q26" s="58">
        <f t="shared" si="30"/>
        <v>959.22500000000002</v>
      </c>
      <c r="R26" s="106"/>
      <c r="S26" s="106"/>
      <c r="T26" s="106"/>
      <c r="U26" s="106"/>
      <c r="V26" s="106"/>
      <c r="W26" s="106"/>
      <c r="X26" s="106"/>
      <c r="Y26" s="106"/>
      <c r="Z26" s="106"/>
      <c r="AA26" s="106"/>
      <c r="AB26" s="106"/>
      <c r="AC26" s="106"/>
      <c r="AD26" s="106"/>
      <c r="AE26" s="106"/>
      <c r="AF26" s="106"/>
      <c r="AG26" s="106"/>
      <c r="AH26" s="106"/>
      <c r="AI26" s="106"/>
      <c r="AJ26" s="106"/>
    </row>
    <row r="27" spans="1:36" s="99" customFormat="1">
      <c r="A27" s="77">
        <f>IF(F27&lt;&gt;"",1+MAX($A$2:A26),"")</f>
        <v>16</v>
      </c>
      <c r="B27" s="56"/>
      <c r="C27" s="107"/>
      <c r="D27" s="57" t="s">
        <v>51</v>
      </c>
      <c r="E27" s="81">
        <v>2</v>
      </c>
      <c r="F27" s="108">
        <v>0</v>
      </c>
      <c r="G27" s="109">
        <f t="shared" si="12"/>
        <v>2</v>
      </c>
      <c r="H27" s="79" t="s">
        <v>43</v>
      </c>
      <c r="I27" s="71">
        <v>1.1000000000000001</v>
      </c>
      <c r="J27" s="72">
        <f t="shared" si="13"/>
        <v>2.2000000000000002</v>
      </c>
      <c r="K27" s="73">
        <f>'LABOR SHEET'!C$3</f>
        <v>46.5</v>
      </c>
      <c r="L27" s="74">
        <f t="shared" si="14"/>
        <v>51.150000000000006</v>
      </c>
      <c r="M27" s="74">
        <f t="shared" si="15"/>
        <v>102.30000000000001</v>
      </c>
      <c r="N27" s="74">
        <v>228</v>
      </c>
      <c r="O27" s="74">
        <f t="shared" si="16"/>
        <v>456</v>
      </c>
      <c r="P27" s="74">
        <f t="shared" si="17"/>
        <v>279.14999999999998</v>
      </c>
      <c r="Q27" s="58">
        <f t="shared" si="18"/>
        <v>558.29999999999995</v>
      </c>
      <c r="R27" s="106"/>
      <c r="S27" s="106"/>
      <c r="T27" s="106"/>
      <c r="U27" s="106"/>
      <c r="V27" s="106"/>
      <c r="W27" s="106"/>
      <c r="X27" s="106"/>
      <c r="Y27" s="106"/>
      <c r="Z27" s="106"/>
      <c r="AA27" s="106"/>
      <c r="AB27" s="106"/>
      <c r="AC27" s="106"/>
      <c r="AD27" s="106"/>
      <c r="AE27" s="106"/>
      <c r="AF27" s="106"/>
      <c r="AG27" s="106"/>
      <c r="AH27" s="106"/>
      <c r="AI27" s="106"/>
      <c r="AJ27" s="106"/>
    </row>
    <row r="28" spans="1:36" s="99" customFormat="1">
      <c r="A28" s="65" t="str">
        <f>IF(F28&lt;&gt;"",1+MAX($A$2:A27),"")</f>
        <v/>
      </c>
      <c r="B28" s="56"/>
      <c r="C28" s="107"/>
      <c r="D28" s="57"/>
      <c r="E28" s="81"/>
      <c r="F28" s="108"/>
      <c r="G28" s="109"/>
      <c r="H28" s="79"/>
      <c r="I28" s="71"/>
      <c r="J28" s="72"/>
      <c r="K28" s="73"/>
      <c r="L28" s="74"/>
      <c r="M28" s="74"/>
      <c r="N28" s="74"/>
      <c r="O28" s="74"/>
      <c r="P28" s="74"/>
      <c r="Q28" s="58"/>
      <c r="R28" s="106"/>
      <c r="S28" s="106"/>
      <c r="T28" s="106"/>
      <c r="U28" s="106"/>
      <c r="V28" s="106"/>
      <c r="W28" s="106"/>
      <c r="X28" s="106"/>
      <c r="Y28" s="106"/>
      <c r="Z28" s="106"/>
      <c r="AA28" s="106"/>
      <c r="AB28" s="106"/>
      <c r="AC28" s="106"/>
      <c r="AD28" s="106"/>
      <c r="AE28" s="106"/>
      <c r="AF28" s="106"/>
      <c r="AG28" s="106"/>
      <c r="AH28" s="106"/>
      <c r="AI28" s="106"/>
      <c r="AJ28" s="106"/>
    </row>
    <row r="29" spans="1:36" s="99" customFormat="1" ht="409.6">
      <c r="A29" s="77">
        <f>IF(F29&lt;&gt;"",1+MAX($A$2:A28),"")</f>
        <v>17</v>
      </c>
      <c r="B29" s="56"/>
      <c r="C29" s="107"/>
      <c r="D29" s="57" t="s">
        <v>52</v>
      </c>
      <c r="E29" s="81">
        <v>1</v>
      </c>
      <c r="F29" s="108">
        <v>0</v>
      </c>
      <c r="G29" s="109">
        <f>E29*(1+F29)</f>
        <v>1</v>
      </c>
      <c r="H29" s="79" t="s">
        <v>43</v>
      </c>
      <c r="I29" s="71">
        <v>20</v>
      </c>
      <c r="J29" s="72">
        <f t="shared" ref="J29:J30" si="31">+I29*G29</f>
        <v>20</v>
      </c>
      <c r="K29" s="73">
        <f>'LABOR SHEET'!C$3</f>
        <v>46.5</v>
      </c>
      <c r="L29" s="74">
        <f t="shared" ref="L29:L30" si="32">I29*K29</f>
        <v>930</v>
      </c>
      <c r="M29" s="74">
        <f t="shared" ref="M29:M30" si="33">K29*J29</f>
        <v>930</v>
      </c>
      <c r="N29" s="74">
        <v>7700</v>
      </c>
      <c r="O29" s="74">
        <f t="shared" ref="O29:O30" si="34">N29*G29</f>
        <v>7700</v>
      </c>
      <c r="P29" s="74">
        <f t="shared" ref="P29:P30" si="35">(I29*K29)+N29</f>
        <v>8630</v>
      </c>
      <c r="Q29" s="58">
        <f t="shared" ref="Q29:Q30" si="36">P29*G29</f>
        <v>8630</v>
      </c>
      <c r="R29" s="106"/>
      <c r="S29" s="106"/>
      <c r="T29" s="106"/>
      <c r="U29" s="106"/>
      <c r="V29" s="106"/>
      <c r="W29" s="106"/>
      <c r="X29" s="106"/>
      <c r="Y29" s="106"/>
      <c r="Z29" s="106"/>
      <c r="AA29" s="106"/>
      <c r="AB29" s="106"/>
      <c r="AC29" s="106"/>
      <c r="AD29" s="106"/>
      <c r="AE29" s="106"/>
      <c r="AF29" s="106"/>
      <c r="AG29" s="106"/>
      <c r="AH29" s="106"/>
      <c r="AI29" s="106"/>
      <c r="AJ29" s="106"/>
    </row>
    <row r="30" spans="1:36" s="99" customFormat="1" ht="409.6">
      <c r="A30" s="65">
        <f>IF(F30&lt;&gt;"",1+MAX($A$2:A29),"")</f>
        <v>18</v>
      </c>
      <c r="B30" s="56"/>
      <c r="C30" s="107"/>
      <c r="D30" s="57" t="s">
        <v>53</v>
      </c>
      <c r="E30" s="81">
        <v>1</v>
      </c>
      <c r="F30" s="108">
        <v>0</v>
      </c>
      <c r="G30" s="109">
        <f>E30*(1+F30)</f>
        <v>1</v>
      </c>
      <c r="H30" s="79" t="s">
        <v>43</v>
      </c>
      <c r="I30" s="71">
        <v>30</v>
      </c>
      <c r="J30" s="72">
        <f t="shared" si="31"/>
        <v>30</v>
      </c>
      <c r="K30" s="73">
        <f>'LABOR SHEET'!C$3</f>
        <v>46.5</v>
      </c>
      <c r="L30" s="74">
        <f t="shared" si="32"/>
        <v>1395</v>
      </c>
      <c r="M30" s="74">
        <f t="shared" si="33"/>
        <v>1395</v>
      </c>
      <c r="N30" s="74">
        <v>11500</v>
      </c>
      <c r="O30" s="74">
        <f t="shared" si="34"/>
        <v>11500</v>
      </c>
      <c r="P30" s="74">
        <f t="shared" si="35"/>
        <v>12895</v>
      </c>
      <c r="Q30" s="58">
        <f t="shared" si="36"/>
        <v>12895</v>
      </c>
      <c r="R30" s="106"/>
      <c r="S30" s="106"/>
      <c r="T30" s="106"/>
      <c r="U30" s="106"/>
      <c r="V30" s="106"/>
      <c r="W30" s="106"/>
      <c r="X30" s="106"/>
      <c r="Y30" s="106"/>
      <c r="Z30" s="106"/>
      <c r="AA30" s="106"/>
      <c r="AB30" s="106"/>
      <c r="AC30" s="106"/>
      <c r="AD30" s="106"/>
      <c r="AE30" s="106"/>
      <c r="AF30" s="106"/>
      <c r="AG30" s="106"/>
      <c r="AH30" s="106"/>
      <c r="AI30" s="106"/>
      <c r="AJ30" s="106"/>
    </row>
    <row r="31" spans="1:36" s="99" customFormat="1">
      <c r="A31" s="77" t="str">
        <f>IF(F31&lt;&gt;"",1+MAX($A$2:A30),"")</f>
        <v/>
      </c>
      <c r="B31" s="56"/>
      <c r="C31" s="107"/>
      <c r="D31" s="57"/>
      <c r="E31" s="81"/>
      <c r="F31" s="108"/>
      <c r="G31" s="109"/>
      <c r="H31" s="79"/>
      <c r="I31" s="71"/>
      <c r="J31" s="72"/>
      <c r="K31" s="73"/>
      <c r="L31" s="74"/>
      <c r="M31" s="74"/>
      <c r="N31" s="74"/>
      <c r="O31" s="74"/>
      <c r="P31" s="74"/>
      <c r="Q31" s="58"/>
      <c r="R31" s="106"/>
      <c r="S31" s="106"/>
      <c r="T31" s="106"/>
      <c r="U31" s="106"/>
      <c r="V31" s="106"/>
      <c r="W31" s="106"/>
      <c r="X31" s="106"/>
      <c r="Y31" s="106"/>
      <c r="Z31" s="106"/>
      <c r="AA31" s="106"/>
      <c r="AB31" s="106"/>
      <c r="AC31" s="106"/>
      <c r="AD31" s="106"/>
      <c r="AE31" s="106"/>
      <c r="AF31" s="106"/>
      <c r="AG31" s="106"/>
      <c r="AH31" s="106"/>
      <c r="AI31" s="106"/>
      <c r="AJ31" s="106"/>
    </row>
    <row r="32" spans="1:36" s="99" customFormat="1" ht="156">
      <c r="A32" s="65">
        <f>IF(F32&lt;&gt;"",1+MAX($A$2:A31),"")</f>
        <v>19</v>
      </c>
      <c r="B32" s="56"/>
      <c r="C32" s="107"/>
      <c r="D32" s="57" t="s">
        <v>54</v>
      </c>
      <c r="E32" s="81">
        <v>1</v>
      </c>
      <c r="F32" s="108">
        <v>0</v>
      </c>
      <c r="G32" s="109">
        <f>E32*(1+F32)</f>
        <v>1</v>
      </c>
      <c r="H32" s="79" t="s">
        <v>43</v>
      </c>
      <c r="I32" s="71">
        <v>3.85</v>
      </c>
      <c r="J32" s="72">
        <f>+I32*G32</f>
        <v>3.85</v>
      </c>
      <c r="K32" s="73">
        <v>50</v>
      </c>
      <c r="L32" s="74">
        <f>I32*K32</f>
        <v>192.5</v>
      </c>
      <c r="M32" s="74">
        <f>K32*J32</f>
        <v>192.5</v>
      </c>
      <c r="N32" s="74">
        <v>1223</v>
      </c>
      <c r="O32" s="74">
        <f>N32*G32</f>
        <v>1223</v>
      </c>
      <c r="P32" s="74">
        <f>(I32*K32)+N32</f>
        <v>1415.5</v>
      </c>
      <c r="Q32" s="58">
        <f>P32*G32</f>
        <v>1415.5</v>
      </c>
      <c r="R32" s="106"/>
      <c r="S32" s="106"/>
      <c r="T32" s="106"/>
      <c r="U32" s="106"/>
      <c r="V32" s="106"/>
      <c r="W32" s="106"/>
      <c r="X32" s="106"/>
      <c r="Y32" s="106"/>
      <c r="Z32" s="106"/>
      <c r="AA32" s="106"/>
      <c r="AB32" s="106"/>
      <c r="AC32" s="106"/>
      <c r="AD32" s="106"/>
      <c r="AE32" s="106"/>
      <c r="AF32" s="106"/>
      <c r="AG32" s="106"/>
      <c r="AH32" s="106"/>
      <c r="AI32" s="106"/>
      <c r="AJ32" s="106"/>
    </row>
    <row r="33" spans="1:36" s="99" customFormat="1">
      <c r="A33" s="77" t="str">
        <f>IF(F33&lt;&gt;"",1+MAX($A$2:A32),"")</f>
        <v/>
      </c>
      <c r="B33" s="56"/>
      <c r="C33" s="107"/>
      <c r="D33" s="57"/>
      <c r="E33" s="81"/>
      <c r="F33" s="108"/>
      <c r="G33" s="109"/>
      <c r="H33" s="79"/>
      <c r="I33" s="71"/>
      <c r="J33" s="72"/>
      <c r="K33" s="73"/>
      <c r="L33" s="74"/>
      <c r="M33" s="74"/>
      <c r="N33" s="74"/>
      <c r="O33" s="74"/>
      <c r="P33" s="74"/>
      <c r="Q33" s="58"/>
      <c r="R33" s="106"/>
      <c r="S33" s="106"/>
      <c r="T33" s="106"/>
      <c r="U33" s="106"/>
      <c r="V33" s="106"/>
      <c r="W33" s="106"/>
      <c r="X33" s="106"/>
      <c r="Y33" s="106"/>
      <c r="Z33" s="106"/>
      <c r="AA33" s="106"/>
      <c r="AB33" s="106"/>
      <c r="AC33" s="106"/>
      <c r="AD33" s="106"/>
      <c r="AE33" s="106"/>
      <c r="AF33" s="106"/>
      <c r="AG33" s="106"/>
      <c r="AH33" s="106"/>
      <c r="AI33" s="106"/>
      <c r="AJ33" s="106"/>
    </row>
    <row r="34" spans="1:36" s="99" customFormat="1" ht="280.8">
      <c r="A34" s="65">
        <f>IF(F34&lt;&gt;"",1+MAX($A$2:A33),"")</f>
        <v>20</v>
      </c>
      <c r="B34" s="56"/>
      <c r="C34" s="107"/>
      <c r="D34" s="57" t="s">
        <v>55</v>
      </c>
      <c r="E34" s="81">
        <v>1</v>
      </c>
      <c r="F34" s="108">
        <v>0</v>
      </c>
      <c r="G34" s="109">
        <f>E34*(1+F34)</f>
        <v>1</v>
      </c>
      <c r="H34" s="79" t="s">
        <v>43</v>
      </c>
      <c r="I34" s="71">
        <v>5.5</v>
      </c>
      <c r="J34" s="72">
        <f t="shared" ref="J34:J36" si="37">+I34*G34</f>
        <v>5.5</v>
      </c>
      <c r="K34" s="73">
        <f>'LABOR SHEET'!C$3</f>
        <v>46.5</v>
      </c>
      <c r="L34" s="74">
        <f t="shared" ref="L34:L36" si="38">I34*K34</f>
        <v>255.75</v>
      </c>
      <c r="M34" s="74">
        <f t="shared" ref="M34:M36" si="39">K34*J34</f>
        <v>255.75</v>
      </c>
      <c r="N34" s="74">
        <v>3442</v>
      </c>
      <c r="O34" s="74">
        <f t="shared" ref="O34:O36" si="40">N34*G34</f>
        <v>3442</v>
      </c>
      <c r="P34" s="74">
        <f t="shared" ref="P34:P36" si="41">(I34*K34)+N34</f>
        <v>3697.75</v>
      </c>
      <c r="Q34" s="58">
        <f t="shared" ref="Q34:Q36" si="42">P34*G34</f>
        <v>3697.75</v>
      </c>
      <c r="R34" s="106"/>
      <c r="S34" s="106"/>
      <c r="T34" s="106"/>
      <c r="U34" s="106"/>
      <c r="V34" s="106"/>
      <c r="W34" s="106"/>
      <c r="X34" s="106"/>
      <c r="Y34" s="106"/>
      <c r="Z34" s="106"/>
      <c r="AA34" s="106"/>
      <c r="AB34" s="106"/>
      <c r="AC34" s="106"/>
      <c r="AD34" s="106"/>
      <c r="AE34" s="106"/>
      <c r="AF34" s="106"/>
      <c r="AG34" s="106"/>
      <c r="AH34" s="106"/>
      <c r="AI34" s="106"/>
      <c r="AJ34" s="106"/>
    </row>
    <row r="35" spans="1:36" s="99" customFormat="1" ht="280.8">
      <c r="A35" s="77">
        <f>IF(F35&lt;&gt;"",1+MAX($A$2:A34),"")</f>
        <v>21</v>
      </c>
      <c r="B35" s="56"/>
      <c r="C35" s="107"/>
      <c r="D35" s="57" t="s">
        <v>56</v>
      </c>
      <c r="E35" s="81">
        <v>1</v>
      </c>
      <c r="F35" s="108">
        <v>0</v>
      </c>
      <c r="G35" s="109">
        <f>E35*(1+F35)</f>
        <v>1</v>
      </c>
      <c r="H35" s="79" t="s">
        <v>43</v>
      </c>
      <c r="I35" s="71">
        <v>5</v>
      </c>
      <c r="J35" s="72">
        <f t="shared" si="37"/>
        <v>5</v>
      </c>
      <c r="K35" s="73">
        <f>'LABOR SHEET'!C$3</f>
        <v>46.5</v>
      </c>
      <c r="L35" s="74">
        <f t="shared" si="38"/>
        <v>232.5</v>
      </c>
      <c r="M35" s="74">
        <f t="shared" si="39"/>
        <v>232.5</v>
      </c>
      <c r="N35" s="74">
        <v>2900</v>
      </c>
      <c r="O35" s="74">
        <f t="shared" si="40"/>
        <v>2900</v>
      </c>
      <c r="P35" s="74">
        <f t="shared" si="41"/>
        <v>3132.5</v>
      </c>
      <c r="Q35" s="58">
        <f t="shared" si="42"/>
        <v>3132.5</v>
      </c>
      <c r="R35" s="106"/>
      <c r="S35" s="106"/>
      <c r="T35" s="106"/>
      <c r="U35" s="106"/>
      <c r="V35" s="106"/>
      <c r="W35" s="106"/>
      <c r="X35" s="106"/>
      <c r="Y35" s="106"/>
      <c r="Z35" s="106"/>
      <c r="AA35" s="106"/>
      <c r="AB35" s="106"/>
      <c r="AC35" s="106"/>
      <c r="AD35" s="106"/>
      <c r="AE35" s="106"/>
      <c r="AF35" s="106"/>
      <c r="AG35" s="106"/>
      <c r="AH35" s="106"/>
      <c r="AI35" s="106"/>
      <c r="AJ35" s="106"/>
    </row>
    <row r="36" spans="1:36" s="99" customFormat="1" ht="296.39999999999998">
      <c r="A36" s="65">
        <f>IF(F36&lt;&gt;"",1+MAX($A$2:A35),"")</f>
        <v>22</v>
      </c>
      <c r="B36" s="56"/>
      <c r="C36" s="107"/>
      <c r="D36" s="57" t="s">
        <v>57</v>
      </c>
      <c r="E36" s="81">
        <v>1</v>
      </c>
      <c r="F36" s="108">
        <v>0</v>
      </c>
      <c r="G36" s="109">
        <f>E36*(1+F36)</f>
        <v>1</v>
      </c>
      <c r="H36" s="79" t="s">
        <v>43</v>
      </c>
      <c r="I36" s="71">
        <v>5.5</v>
      </c>
      <c r="J36" s="72">
        <f t="shared" si="37"/>
        <v>5.5</v>
      </c>
      <c r="K36" s="73">
        <f>'LABOR SHEET'!C$3</f>
        <v>46.5</v>
      </c>
      <c r="L36" s="74">
        <f t="shared" si="38"/>
        <v>255.75</v>
      </c>
      <c r="M36" s="74">
        <f t="shared" si="39"/>
        <v>255.75</v>
      </c>
      <c r="N36" s="74">
        <v>2424</v>
      </c>
      <c r="O36" s="74">
        <f t="shared" si="40"/>
        <v>2424</v>
      </c>
      <c r="P36" s="74">
        <f t="shared" si="41"/>
        <v>2679.75</v>
      </c>
      <c r="Q36" s="58">
        <f t="shared" si="42"/>
        <v>2679.75</v>
      </c>
      <c r="R36" s="106"/>
      <c r="S36" s="106"/>
      <c r="T36" s="106"/>
      <c r="U36" s="106"/>
      <c r="V36" s="106"/>
      <c r="W36" s="106"/>
      <c r="X36" s="106"/>
      <c r="Y36" s="106"/>
      <c r="Z36" s="106"/>
      <c r="AA36" s="106"/>
      <c r="AB36" s="106"/>
      <c r="AC36" s="106"/>
      <c r="AD36" s="106"/>
      <c r="AE36" s="106"/>
      <c r="AF36" s="106"/>
      <c r="AG36" s="106"/>
      <c r="AH36" s="106"/>
      <c r="AI36" s="106"/>
      <c r="AJ36" s="106"/>
    </row>
    <row r="37" spans="1:36" s="99" customFormat="1">
      <c r="A37" s="77" t="str">
        <f>IF(F37&lt;&gt;"",1+MAX($A$2:A36),"")</f>
        <v/>
      </c>
      <c r="B37" s="56"/>
      <c r="C37" s="107"/>
      <c r="D37" s="57"/>
      <c r="E37" s="81"/>
      <c r="F37" s="108"/>
      <c r="G37" s="109"/>
      <c r="H37" s="79"/>
      <c r="I37" s="71"/>
      <c r="J37" s="72"/>
      <c r="K37" s="73"/>
      <c r="L37" s="74"/>
      <c r="M37" s="74"/>
      <c r="N37" s="74"/>
      <c r="O37" s="74"/>
      <c r="P37" s="74"/>
      <c r="Q37" s="58"/>
      <c r="R37" s="106"/>
      <c r="S37" s="106"/>
      <c r="T37" s="106"/>
      <c r="U37" s="106"/>
      <c r="V37" s="106"/>
      <c r="W37" s="106"/>
      <c r="X37" s="106"/>
      <c r="Y37" s="106"/>
      <c r="Z37" s="106"/>
      <c r="AA37" s="106"/>
      <c r="AB37" s="106"/>
      <c r="AC37" s="106"/>
      <c r="AD37" s="106"/>
      <c r="AE37" s="106"/>
      <c r="AF37" s="106"/>
      <c r="AG37" s="106"/>
      <c r="AH37" s="106"/>
      <c r="AI37" s="106"/>
      <c r="AJ37" s="106"/>
    </row>
    <row r="38" spans="1:36" s="99" customFormat="1" ht="93.6">
      <c r="A38" s="65">
        <f>IF(F38&lt;&gt;"",1+MAX($A$2:A37),"")</f>
        <v>23</v>
      </c>
      <c r="B38" s="56"/>
      <c r="C38" s="107"/>
      <c r="D38" s="57" t="s">
        <v>58</v>
      </c>
      <c r="E38" s="81">
        <v>1</v>
      </c>
      <c r="F38" s="108">
        <v>0</v>
      </c>
      <c r="G38" s="109">
        <f>E38*(1+F38)</f>
        <v>1</v>
      </c>
      <c r="H38" s="79" t="s">
        <v>43</v>
      </c>
      <c r="I38" s="71">
        <v>4</v>
      </c>
      <c r="J38" s="72">
        <f t="shared" ref="J38:J39" si="43">+I38*G38</f>
        <v>4</v>
      </c>
      <c r="K38" s="73">
        <f>'LABOR SHEET'!C$3</f>
        <v>46.5</v>
      </c>
      <c r="L38" s="74">
        <f t="shared" ref="L38:L39" si="44">I38*K38</f>
        <v>186</v>
      </c>
      <c r="M38" s="74">
        <f t="shared" ref="M38:M39" si="45">K38*J38</f>
        <v>186</v>
      </c>
      <c r="N38" s="74">
        <v>2175</v>
      </c>
      <c r="O38" s="74">
        <f t="shared" ref="O38:O39" si="46">N38*G38</f>
        <v>2175</v>
      </c>
      <c r="P38" s="74">
        <f t="shared" ref="P38:P39" si="47">(I38*K38)+N38</f>
        <v>2361</v>
      </c>
      <c r="Q38" s="58">
        <f t="shared" ref="Q38:Q39" si="48">P38*G38</f>
        <v>2361</v>
      </c>
      <c r="R38" s="106"/>
      <c r="S38" s="106"/>
      <c r="T38" s="106"/>
      <c r="U38" s="106"/>
      <c r="V38" s="106"/>
      <c r="W38" s="106"/>
      <c r="X38" s="106"/>
      <c r="Y38" s="106"/>
      <c r="Z38" s="106"/>
      <c r="AA38" s="106"/>
      <c r="AB38" s="106"/>
      <c r="AC38" s="106"/>
      <c r="AD38" s="106"/>
      <c r="AE38" s="106"/>
      <c r="AF38" s="106"/>
      <c r="AG38" s="106"/>
      <c r="AH38" s="106"/>
      <c r="AI38" s="106"/>
      <c r="AJ38" s="106"/>
    </row>
    <row r="39" spans="1:36" s="99" customFormat="1" ht="187.2">
      <c r="A39" s="77">
        <f>IF(F39&lt;&gt;"",1+MAX($A$2:A38),"")</f>
        <v>24</v>
      </c>
      <c r="B39" s="56"/>
      <c r="C39" s="107"/>
      <c r="D39" s="57" t="s">
        <v>59</v>
      </c>
      <c r="E39" s="81">
        <v>1</v>
      </c>
      <c r="F39" s="108">
        <v>0</v>
      </c>
      <c r="G39" s="109">
        <f>E39*(1+F39)</f>
        <v>1</v>
      </c>
      <c r="H39" s="79" t="s">
        <v>43</v>
      </c>
      <c r="I39" s="71">
        <v>8.5</v>
      </c>
      <c r="J39" s="72">
        <f t="shared" si="43"/>
        <v>8.5</v>
      </c>
      <c r="K39" s="73">
        <f>'LABOR SHEET'!C$3</f>
        <v>46.5</v>
      </c>
      <c r="L39" s="74">
        <f t="shared" si="44"/>
        <v>395.25</v>
      </c>
      <c r="M39" s="74">
        <f t="shared" si="45"/>
        <v>395.25</v>
      </c>
      <c r="N39" s="74">
        <v>4275</v>
      </c>
      <c r="O39" s="74">
        <f t="shared" si="46"/>
        <v>4275</v>
      </c>
      <c r="P39" s="74">
        <f t="shared" si="47"/>
        <v>4670.25</v>
      </c>
      <c r="Q39" s="58">
        <f t="shared" si="48"/>
        <v>4670.25</v>
      </c>
      <c r="R39" s="106"/>
      <c r="S39" s="106"/>
      <c r="T39" s="106"/>
      <c r="U39" s="106"/>
      <c r="V39" s="106"/>
      <c r="W39" s="106"/>
      <c r="X39" s="106"/>
      <c r="Y39" s="106"/>
      <c r="Z39" s="106"/>
      <c r="AA39" s="106"/>
      <c r="AB39" s="106"/>
      <c r="AC39" s="106"/>
      <c r="AD39" s="106"/>
      <c r="AE39" s="106"/>
      <c r="AF39" s="106"/>
      <c r="AG39" s="106"/>
      <c r="AH39" s="106"/>
      <c r="AI39" s="106"/>
      <c r="AJ39" s="106"/>
    </row>
    <row r="40" spans="1:36" s="99" customFormat="1" ht="187.2">
      <c r="A40" s="65">
        <f>IF(F40&lt;&gt;"",1+MAX($A$2:A39),"")</f>
        <v>25</v>
      </c>
      <c r="B40" s="56"/>
      <c r="C40" s="107"/>
      <c r="D40" s="57" t="s">
        <v>60</v>
      </c>
      <c r="E40" s="81">
        <v>1</v>
      </c>
      <c r="F40" s="108">
        <v>0</v>
      </c>
      <c r="G40" s="109">
        <f>E40*(1+F40)</f>
        <v>1</v>
      </c>
      <c r="H40" s="79" t="s">
        <v>43</v>
      </c>
      <c r="I40" s="71">
        <v>8.5</v>
      </c>
      <c r="J40" s="72">
        <f t="shared" ref="J40" si="49">+I40*G40</f>
        <v>8.5</v>
      </c>
      <c r="K40" s="73">
        <f>'LABOR SHEET'!C$3</f>
        <v>46.5</v>
      </c>
      <c r="L40" s="74">
        <f t="shared" ref="L40" si="50">I40*K40</f>
        <v>395.25</v>
      </c>
      <c r="M40" s="74">
        <f t="shared" ref="M40" si="51">K40*J40</f>
        <v>395.25</v>
      </c>
      <c r="N40" s="74">
        <v>4275</v>
      </c>
      <c r="O40" s="74">
        <f t="shared" ref="O40" si="52">N40*G40</f>
        <v>4275</v>
      </c>
      <c r="P40" s="74">
        <f t="shared" ref="P40" si="53">(I40*K40)+N40</f>
        <v>4670.25</v>
      </c>
      <c r="Q40" s="58">
        <f t="shared" ref="Q40" si="54">P40*G40</f>
        <v>4670.25</v>
      </c>
      <c r="R40" s="106"/>
      <c r="S40" s="106"/>
      <c r="T40" s="106"/>
      <c r="U40" s="106"/>
      <c r="V40" s="106"/>
      <c r="W40" s="106"/>
      <c r="X40" s="106"/>
      <c r="Y40" s="106"/>
      <c r="Z40" s="106"/>
      <c r="AA40" s="106"/>
      <c r="AB40" s="106"/>
      <c r="AC40" s="106"/>
      <c r="AD40" s="106"/>
      <c r="AE40" s="106"/>
      <c r="AF40" s="106"/>
      <c r="AG40" s="106"/>
      <c r="AH40" s="106"/>
      <c r="AI40" s="106"/>
      <c r="AJ40" s="106"/>
    </row>
    <row r="41" spans="1:36" s="99" customFormat="1" ht="187.2">
      <c r="A41" s="77">
        <f>IF(F41&lt;&gt;"",1+MAX($A$2:A40),"")</f>
        <v>26</v>
      </c>
      <c r="B41" s="56"/>
      <c r="C41" s="107"/>
      <c r="D41" s="57" t="s">
        <v>61</v>
      </c>
      <c r="E41" s="81">
        <v>1</v>
      </c>
      <c r="F41" s="108">
        <v>0</v>
      </c>
      <c r="G41" s="109">
        <f>E41*(1+F41)</f>
        <v>1</v>
      </c>
      <c r="H41" s="79" t="s">
        <v>43</v>
      </c>
      <c r="I41" s="71">
        <v>7</v>
      </c>
      <c r="J41" s="72">
        <f t="shared" ref="J41" si="55">+I41*G41</f>
        <v>7</v>
      </c>
      <c r="K41" s="73">
        <f>'LABOR SHEET'!C$3</f>
        <v>46.5</v>
      </c>
      <c r="L41" s="74">
        <f t="shared" ref="L41" si="56">I41*K41</f>
        <v>325.5</v>
      </c>
      <c r="M41" s="74">
        <f t="shared" ref="M41" si="57">K41*J41</f>
        <v>325.5</v>
      </c>
      <c r="N41" s="74">
        <v>3774</v>
      </c>
      <c r="O41" s="74">
        <f t="shared" ref="O41" si="58">N41*G41</f>
        <v>3774</v>
      </c>
      <c r="P41" s="74">
        <f t="shared" ref="P41" si="59">(I41*K41)+N41</f>
        <v>4099.5</v>
      </c>
      <c r="Q41" s="58">
        <f t="shared" ref="Q41" si="60">P41*G41</f>
        <v>4099.5</v>
      </c>
      <c r="R41" s="106"/>
      <c r="S41" s="106"/>
      <c r="T41" s="106"/>
      <c r="U41" s="106"/>
      <c r="V41" s="106"/>
      <c r="W41" s="106"/>
      <c r="X41" s="106"/>
      <c r="Y41" s="106"/>
      <c r="Z41" s="106"/>
      <c r="AA41" s="106"/>
      <c r="AB41" s="106"/>
      <c r="AC41" s="106"/>
      <c r="AD41" s="106"/>
      <c r="AE41" s="106"/>
      <c r="AF41" s="106"/>
      <c r="AG41" s="106"/>
      <c r="AH41" s="106"/>
      <c r="AI41" s="106"/>
      <c r="AJ41" s="106"/>
    </row>
    <row r="42" spans="1:36" s="99" customFormat="1">
      <c r="A42" s="65" t="str">
        <f>IF(F42&lt;&gt;"",1+MAX($A$2:A41),"")</f>
        <v/>
      </c>
      <c r="B42" s="56"/>
      <c r="C42" s="107"/>
      <c r="D42" s="57"/>
      <c r="E42" s="81"/>
      <c r="F42" s="108"/>
      <c r="G42" s="109"/>
      <c r="H42" s="79"/>
      <c r="I42" s="71"/>
      <c r="J42" s="72"/>
      <c r="K42" s="73"/>
      <c r="L42" s="74"/>
      <c r="M42" s="74"/>
      <c r="N42" s="74"/>
      <c r="O42" s="74"/>
      <c r="P42" s="74"/>
      <c r="Q42" s="58"/>
      <c r="R42" s="106"/>
      <c r="S42" s="106"/>
      <c r="T42" s="106"/>
      <c r="U42" s="106"/>
      <c r="V42" s="106"/>
      <c r="W42" s="106"/>
      <c r="X42" s="106"/>
      <c r="Y42" s="106"/>
      <c r="Z42" s="106"/>
      <c r="AA42" s="106"/>
      <c r="AB42" s="106"/>
      <c r="AC42" s="106"/>
      <c r="AD42" s="106"/>
      <c r="AE42" s="106"/>
      <c r="AF42" s="106"/>
      <c r="AG42" s="106"/>
      <c r="AH42" s="106"/>
      <c r="AI42" s="106"/>
      <c r="AJ42" s="106"/>
    </row>
    <row r="43" spans="1:36" s="99" customFormat="1" ht="31.2">
      <c r="A43" s="77">
        <f>IF(F43&lt;&gt;"",1+MAX($A$2:A42),"")</f>
        <v>27</v>
      </c>
      <c r="B43" s="56"/>
      <c r="C43" s="107"/>
      <c r="D43" s="57" t="s">
        <v>62</v>
      </c>
      <c r="E43" s="81">
        <v>1</v>
      </c>
      <c r="F43" s="108">
        <v>0</v>
      </c>
      <c r="G43" s="109">
        <f t="shared" ref="G43:G73" si="61">E43*(1+F43)</f>
        <v>1</v>
      </c>
      <c r="H43" s="79" t="s">
        <v>43</v>
      </c>
      <c r="I43" s="71">
        <v>3</v>
      </c>
      <c r="J43" s="72">
        <f>+I43*G43</f>
        <v>3</v>
      </c>
      <c r="K43" s="73">
        <f>'LABOR SHEET'!C$3</f>
        <v>46.5</v>
      </c>
      <c r="L43" s="74">
        <f>I43*K43</f>
        <v>139.5</v>
      </c>
      <c r="M43" s="74">
        <f>K43*J43</f>
        <v>139.5</v>
      </c>
      <c r="N43" s="74">
        <v>595</v>
      </c>
      <c r="O43" s="74">
        <f>N43*G43</f>
        <v>595</v>
      </c>
      <c r="P43" s="74">
        <f>(I43*K43)+N43</f>
        <v>734.5</v>
      </c>
      <c r="Q43" s="58">
        <f>P43*G43</f>
        <v>734.5</v>
      </c>
      <c r="R43" s="106"/>
      <c r="S43" s="106"/>
      <c r="T43" s="106"/>
      <c r="U43" s="106"/>
      <c r="V43" s="106"/>
      <c r="W43" s="106"/>
      <c r="X43" s="106"/>
      <c r="Y43" s="106"/>
      <c r="Z43" s="106"/>
      <c r="AA43" s="106"/>
      <c r="AB43" s="106"/>
      <c r="AC43" s="106"/>
      <c r="AD43" s="106"/>
      <c r="AE43" s="106"/>
      <c r="AF43" s="106"/>
      <c r="AG43" s="106"/>
      <c r="AH43" s="106"/>
      <c r="AI43" s="106"/>
      <c r="AJ43" s="106"/>
    </row>
    <row r="44" spans="1:36" s="99" customFormat="1">
      <c r="A44" s="65" t="str">
        <f>IF(F44&lt;&gt;"",1+MAX($A$2:A43),"")</f>
        <v/>
      </c>
      <c r="B44" s="56"/>
      <c r="C44" s="107"/>
      <c r="D44" s="57"/>
      <c r="E44" s="81"/>
      <c r="F44" s="108"/>
      <c r="G44" s="109"/>
      <c r="H44" s="79"/>
      <c r="I44" s="71"/>
      <c r="J44" s="72"/>
      <c r="K44" s="73"/>
      <c r="L44" s="74"/>
      <c r="M44" s="74"/>
      <c r="N44" s="74"/>
      <c r="O44" s="74"/>
      <c r="P44" s="74"/>
      <c r="Q44" s="58"/>
      <c r="R44" s="106"/>
      <c r="S44" s="106"/>
      <c r="T44" s="106"/>
      <c r="U44" s="106"/>
      <c r="V44" s="106"/>
      <c r="W44" s="106"/>
      <c r="X44" s="106"/>
      <c r="Y44" s="106"/>
      <c r="Z44" s="106"/>
      <c r="AA44" s="106"/>
      <c r="AB44" s="106"/>
      <c r="AC44" s="106"/>
      <c r="AD44" s="106"/>
      <c r="AE44" s="106"/>
      <c r="AF44" s="106"/>
      <c r="AG44" s="106"/>
      <c r="AH44" s="106"/>
      <c r="AI44" s="106"/>
      <c r="AJ44" s="106"/>
    </row>
    <row r="45" spans="1:36" s="99" customFormat="1">
      <c r="A45" s="77" t="str">
        <f>IF(F45&lt;&gt;"",1+MAX($A$2:A44),"")</f>
        <v/>
      </c>
      <c r="B45" s="55"/>
      <c r="C45" s="81"/>
      <c r="D45" s="101" t="s">
        <v>63</v>
      </c>
      <c r="E45" s="79"/>
      <c r="F45" s="79"/>
      <c r="G45" s="79"/>
      <c r="H45" s="79"/>
      <c r="I45" s="102"/>
      <c r="J45" s="103"/>
      <c r="K45" s="104"/>
      <c r="L45" s="74"/>
      <c r="M45" s="74"/>
      <c r="N45" s="74"/>
      <c r="O45" s="74"/>
      <c r="P45" s="74"/>
      <c r="Q45" s="105"/>
      <c r="R45" s="106"/>
      <c r="S45" s="106"/>
      <c r="T45" s="106"/>
      <c r="U45" s="106"/>
      <c r="V45" s="106"/>
      <c r="W45" s="106"/>
      <c r="X45" s="106"/>
      <c r="Y45" s="106"/>
      <c r="Z45" s="106"/>
      <c r="AA45" s="106"/>
      <c r="AB45" s="106"/>
      <c r="AC45" s="106"/>
      <c r="AD45" s="106"/>
      <c r="AE45" s="106"/>
      <c r="AF45" s="106"/>
      <c r="AG45" s="106"/>
      <c r="AH45" s="106"/>
      <c r="AI45" s="106"/>
      <c r="AJ45" s="106"/>
    </row>
    <row r="46" spans="1:36" s="99" customFormat="1" ht="93.6">
      <c r="A46" s="65">
        <f>IF(F46&lt;&gt;"",1+MAX($A$2:A45),"")</f>
        <v>28</v>
      </c>
      <c r="B46" s="56"/>
      <c r="C46" s="107"/>
      <c r="D46" s="57" t="s">
        <v>64</v>
      </c>
      <c r="E46" s="81">
        <v>1</v>
      </c>
      <c r="F46" s="108">
        <v>0</v>
      </c>
      <c r="G46" s="109">
        <f t="shared" si="61"/>
        <v>1</v>
      </c>
      <c r="H46" s="79" t="s">
        <v>43</v>
      </c>
      <c r="I46" s="71">
        <v>1</v>
      </c>
      <c r="J46" s="72">
        <f t="shared" ref="J46:J80" si="62">+I46*G46</f>
        <v>1</v>
      </c>
      <c r="K46" s="73">
        <f>'LABOR SHEET'!C$3</f>
        <v>46.5</v>
      </c>
      <c r="L46" s="74">
        <f t="shared" ref="L46:L80" si="63">I46*K46</f>
        <v>46.5</v>
      </c>
      <c r="M46" s="74">
        <f t="shared" ref="M46:M80" si="64">K46*J46</f>
        <v>46.5</v>
      </c>
      <c r="N46" s="74">
        <v>210</v>
      </c>
      <c r="O46" s="74">
        <f t="shared" ref="O46:O80" si="65">N46*G46</f>
        <v>210</v>
      </c>
      <c r="P46" s="74">
        <f t="shared" ref="P46:P80" si="66">(I46*K46)+N46</f>
        <v>256.5</v>
      </c>
      <c r="Q46" s="58">
        <f t="shared" ref="Q46:Q80" si="67">P46*G46</f>
        <v>256.5</v>
      </c>
      <c r="R46" s="106"/>
      <c r="S46" s="106"/>
      <c r="T46" s="106"/>
      <c r="U46" s="106"/>
      <c r="V46" s="106"/>
      <c r="W46" s="106"/>
      <c r="X46" s="106"/>
      <c r="Y46" s="106"/>
      <c r="Z46" s="106"/>
      <c r="AA46" s="106"/>
      <c r="AB46" s="106"/>
      <c r="AC46" s="106"/>
      <c r="AD46" s="106"/>
      <c r="AE46" s="106"/>
      <c r="AF46" s="106"/>
      <c r="AG46" s="106"/>
      <c r="AH46" s="106"/>
      <c r="AI46" s="106"/>
      <c r="AJ46" s="106"/>
    </row>
    <row r="47" spans="1:36" s="99" customFormat="1" ht="93.6">
      <c r="A47" s="77">
        <f>IF(F47&lt;&gt;"",1+MAX($A$2:A46),"")</f>
        <v>29</v>
      </c>
      <c r="B47" s="56"/>
      <c r="C47" s="107"/>
      <c r="D47" s="57" t="s">
        <v>65</v>
      </c>
      <c r="E47" s="81">
        <v>2</v>
      </c>
      <c r="F47" s="108">
        <v>0</v>
      </c>
      <c r="G47" s="109">
        <f t="shared" si="61"/>
        <v>2</v>
      </c>
      <c r="H47" s="79" t="s">
        <v>43</v>
      </c>
      <c r="I47" s="71">
        <v>1.1000000000000001</v>
      </c>
      <c r="J47" s="72">
        <f t="shared" si="62"/>
        <v>2.2000000000000002</v>
      </c>
      <c r="K47" s="73">
        <f>'LABOR SHEET'!C$3</f>
        <v>46.5</v>
      </c>
      <c r="L47" s="74">
        <f t="shared" si="63"/>
        <v>51.150000000000006</v>
      </c>
      <c r="M47" s="74">
        <f t="shared" si="64"/>
        <v>102.30000000000001</v>
      </c>
      <c r="N47" s="74">
        <v>260</v>
      </c>
      <c r="O47" s="74">
        <f t="shared" si="65"/>
        <v>520</v>
      </c>
      <c r="P47" s="74">
        <f t="shared" si="66"/>
        <v>311.14999999999998</v>
      </c>
      <c r="Q47" s="58">
        <f t="shared" si="67"/>
        <v>622.29999999999995</v>
      </c>
      <c r="R47" s="106"/>
      <c r="S47" s="106"/>
      <c r="T47" s="106"/>
      <c r="U47" s="106"/>
      <c r="V47" s="106"/>
      <c r="W47" s="106"/>
      <c r="X47" s="106"/>
      <c r="Y47" s="106"/>
      <c r="Z47" s="106"/>
      <c r="AA47" s="106"/>
      <c r="AB47" s="106"/>
      <c r="AC47" s="106"/>
      <c r="AD47" s="106"/>
      <c r="AE47" s="106"/>
      <c r="AF47" s="106"/>
      <c r="AG47" s="106"/>
      <c r="AH47" s="106"/>
      <c r="AI47" s="106"/>
      <c r="AJ47" s="106"/>
    </row>
    <row r="48" spans="1:36" s="99" customFormat="1" ht="109.2">
      <c r="A48" s="65">
        <f>IF(F48&lt;&gt;"",1+MAX($A$2:A47),"")</f>
        <v>30</v>
      </c>
      <c r="B48" s="56"/>
      <c r="C48" s="107"/>
      <c r="D48" s="57" t="s">
        <v>66</v>
      </c>
      <c r="E48" s="81">
        <v>1</v>
      </c>
      <c r="F48" s="108">
        <v>0</v>
      </c>
      <c r="G48" s="109">
        <f t="shared" si="61"/>
        <v>1</v>
      </c>
      <c r="H48" s="79" t="s">
        <v>43</v>
      </c>
      <c r="I48" s="71">
        <v>1.25</v>
      </c>
      <c r="J48" s="72">
        <f t="shared" si="62"/>
        <v>1.25</v>
      </c>
      <c r="K48" s="73">
        <f>'LABOR SHEET'!C$3</f>
        <v>46.5</v>
      </c>
      <c r="L48" s="74">
        <f t="shared" si="63"/>
        <v>58.125</v>
      </c>
      <c r="M48" s="74">
        <f t="shared" si="64"/>
        <v>58.125</v>
      </c>
      <c r="N48" s="74">
        <v>270</v>
      </c>
      <c r="O48" s="74">
        <f t="shared" si="65"/>
        <v>270</v>
      </c>
      <c r="P48" s="74">
        <f t="shared" si="66"/>
        <v>328.125</v>
      </c>
      <c r="Q48" s="58">
        <f t="shared" si="67"/>
        <v>328.125</v>
      </c>
      <c r="R48" s="106"/>
      <c r="S48" s="106"/>
      <c r="T48" s="106"/>
      <c r="U48" s="106"/>
      <c r="V48" s="106"/>
      <c r="W48" s="106"/>
      <c r="X48" s="106"/>
      <c r="Y48" s="106"/>
      <c r="Z48" s="106"/>
      <c r="AA48" s="106"/>
      <c r="AB48" s="106"/>
      <c r="AC48" s="106"/>
      <c r="AD48" s="106"/>
      <c r="AE48" s="106"/>
      <c r="AF48" s="106"/>
      <c r="AG48" s="106"/>
      <c r="AH48" s="106"/>
      <c r="AI48" s="106"/>
      <c r="AJ48" s="106"/>
    </row>
    <row r="49" spans="1:36" s="99" customFormat="1" ht="109.2">
      <c r="A49" s="77">
        <f>IF(F49&lt;&gt;"",1+MAX($A$2:A48),"")</f>
        <v>31</v>
      </c>
      <c r="B49" s="56"/>
      <c r="C49" s="107"/>
      <c r="D49" s="57" t="s">
        <v>67</v>
      </c>
      <c r="E49" s="81">
        <v>1</v>
      </c>
      <c r="F49" s="108">
        <v>0</v>
      </c>
      <c r="G49" s="109">
        <f t="shared" si="61"/>
        <v>1</v>
      </c>
      <c r="H49" s="79" t="s">
        <v>43</v>
      </c>
      <c r="I49" s="71">
        <v>1.3</v>
      </c>
      <c r="J49" s="72">
        <f t="shared" si="62"/>
        <v>1.3</v>
      </c>
      <c r="K49" s="73">
        <f>'LABOR SHEET'!C$3</f>
        <v>46.5</v>
      </c>
      <c r="L49" s="74">
        <f t="shared" si="63"/>
        <v>60.45</v>
      </c>
      <c r="M49" s="74">
        <f t="shared" si="64"/>
        <v>60.45</v>
      </c>
      <c r="N49" s="74">
        <v>310</v>
      </c>
      <c r="O49" s="74">
        <f t="shared" si="65"/>
        <v>310</v>
      </c>
      <c r="P49" s="74">
        <f t="shared" si="66"/>
        <v>370.45</v>
      </c>
      <c r="Q49" s="58">
        <f t="shared" si="67"/>
        <v>370.45</v>
      </c>
      <c r="R49" s="106"/>
      <c r="S49" s="106"/>
      <c r="T49" s="106"/>
      <c r="U49" s="106"/>
      <c r="V49" s="106"/>
      <c r="W49" s="106"/>
      <c r="X49" s="106"/>
      <c r="Y49" s="106"/>
      <c r="Z49" s="106"/>
      <c r="AA49" s="106"/>
      <c r="AB49" s="106"/>
      <c r="AC49" s="106"/>
      <c r="AD49" s="106"/>
      <c r="AE49" s="106"/>
      <c r="AF49" s="106"/>
      <c r="AG49" s="106"/>
      <c r="AH49" s="106"/>
      <c r="AI49" s="106"/>
      <c r="AJ49" s="106"/>
    </row>
    <row r="50" spans="1:36" s="99" customFormat="1" ht="109.2">
      <c r="A50" s="65">
        <f>IF(F50&lt;&gt;"",1+MAX($A$2:A49),"")</f>
        <v>32</v>
      </c>
      <c r="B50" s="56"/>
      <c r="C50" s="107"/>
      <c r="D50" s="57" t="s">
        <v>68</v>
      </c>
      <c r="E50" s="81">
        <v>1</v>
      </c>
      <c r="F50" s="108">
        <v>0</v>
      </c>
      <c r="G50" s="109">
        <f t="shared" si="61"/>
        <v>1</v>
      </c>
      <c r="H50" s="79" t="s">
        <v>43</v>
      </c>
      <c r="I50" s="71">
        <v>1.35</v>
      </c>
      <c r="J50" s="72">
        <f t="shared" si="62"/>
        <v>1.35</v>
      </c>
      <c r="K50" s="73">
        <f>'LABOR SHEET'!C$3</f>
        <v>46.5</v>
      </c>
      <c r="L50" s="74">
        <f t="shared" si="63"/>
        <v>62.775000000000006</v>
      </c>
      <c r="M50" s="74">
        <f t="shared" si="64"/>
        <v>62.775000000000006</v>
      </c>
      <c r="N50" s="74">
        <v>360</v>
      </c>
      <c r="O50" s="74">
        <f t="shared" si="65"/>
        <v>360</v>
      </c>
      <c r="P50" s="74">
        <f t="shared" si="66"/>
        <v>422.77499999999998</v>
      </c>
      <c r="Q50" s="58">
        <f t="shared" si="67"/>
        <v>422.77499999999998</v>
      </c>
      <c r="R50" s="106"/>
      <c r="S50" s="106"/>
      <c r="T50" s="106"/>
      <c r="U50" s="106"/>
      <c r="V50" s="106"/>
      <c r="W50" s="106"/>
      <c r="X50" s="106"/>
      <c r="Y50" s="106"/>
      <c r="Z50" s="106"/>
      <c r="AA50" s="106"/>
      <c r="AB50" s="106"/>
      <c r="AC50" s="106"/>
      <c r="AD50" s="106"/>
      <c r="AE50" s="106"/>
      <c r="AF50" s="106"/>
      <c r="AG50" s="106"/>
      <c r="AH50" s="106"/>
      <c r="AI50" s="106"/>
      <c r="AJ50" s="106"/>
    </row>
    <row r="51" spans="1:36" s="99" customFormat="1" ht="109.2">
      <c r="A51" s="77">
        <f>IF(F51&lt;&gt;"",1+MAX($A$2:A50),"")</f>
        <v>33</v>
      </c>
      <c r="B51" s="56"/>
      <c r="C51" s="107"/>
      <c r="D51" s="57" t="s">
        <v>69</v>
      </c>
      <c r="E51" s="81">
        <v>2</v>
      </c>
      <c r="F51" s="108">
        <v>0</v>
      </c>
      <c r="G51" s="109">
        <f t="shared" si="61"/>
        <v>2</v>
      </c>
      <c r="H51" s="79" t="s">
        <v>43</v>
      </c>
      <c r="I51" s="71">
        <v>1.4</v>
      </c>
      <c r="J51" s="72">
        <f t="shared" si="62"/>
        <v>2.8</v>
      </c>
      <c r="K51" s="73">
        <f>'LABOR SHEET'!C$3</f>
        <v>46.5</v>
      </c>
      <c r="L51" s="74">
        <f t="shared" si="63"/>
        <v>65.099999999999994</v>
      </c>
      <c r="M51" s="74">
        <f t="shared" si="64"/>
        <v>130.19999999999999</v>
      </c>
      <c r="N51" s="74">
        <v>380</v>
      </c>
      <c r="O51" s="74">
        <f t="shared" si="65"/>
        <v>760</v>
      </c>
      <c r="P51" s="74">
        <f t="shared" si="66"/>
        <v>445.1</v>
      </c>
      <c r="Q51" s="58">
        <f t="shared" si="67"/>
        <v>890.2</v>
      </c>
      <c r="R51" s="106"/>
      <c r="S51" s="106"/>
      <c r="T51" s="106"/>
      <c r="U51" s="106"/>
      <c r="V51" s="106"/>
      <c r="W51" s="106"/>
      <c r="X51" s="106"/>
      <c r="Y51" s="106"/>
      <c r="Z51" s="106"/>
      <c r="AA51" s="106"/>
      <c r="AB51" s="106"/>
      <c r="AC51" s="106"/>
      <c r="AD51" s="106"/>
      <c r="AE51" s="106"/>
      <c r="AF51" s="106"/>
      <c r="AG51" s="106"/>
      <c r="AH51" s="106"/>
      <c r="AI51" s="106"/>
      <c r="AJ51" s="106"/>
    </row>
    <row r="52" spans="1:36" s="99" customFormat="1" ht="109.2">
      <c r="A52" s="65">
        <f>IF(F52&lt;&gt;"",1+MAX($A$2:A51),"")</f>
        <v>34</v>
      </c>
      <c r="B52" s="56"/>
      <c r="C52" s="107"/>
      <c r="D52" s="57" t="s">
        <v>70</v>
      </c>
      <c r="E52" s="81">
        <v>2</v>
      </c>
      <c r="F52" s="108">
        <v>0</v>
      </c>
      <c r="G52" s="109">
        <f t="shared" si="61"/>
        <v>2</v>
      </c>
      <c r="H52" s="79" t="s">
        <v>43</v>
      </c>
      <c r="I52" s="71">
        <v>1.45</v>
      </c>
      <c r="J52" s="72">
        <f t="shared" si="62"/>
        <v>2.9</v>
      </c>
      <c r="K52" s="73">
        <f>'LABOR SHEET'!C$3</f>
        <v>46.5</v>
      </c>
      <c r="L52" s="74">
        <f t="shared" si="63"/>
        <v>67.424999999999997</v>
      </c>
      <c r="M52" s="74">
        <f t="shared" si="64"/>
        <v>134.85</v>
      </c>
      <c r="N52" s="74">
        <v>385</v>
      </c>
      <c r="O52" s="74">
        <f t="shared" si="65"/>
        <v>770</v>
      </c>
      <c r="P52" s="74">
        <f t="shared" si="66"/>
        <v>452.42500000000001</v>
      </c>
      <c r="Q52" s="58">
        <f t="shared" si="67"/>
        <v>904.85</v>
      </c>
      <c r="R52" s="106"/>
      <c r="S52" s="106"/>
      <c r="T52" s="106"/>
      <c r="U52" s="106"/>
      <c r="V52" s="106"/>
      <c r="W52" s="106"/>
      <c r="X52" s="106"/>
      <c r="Y52" s="106"/>
      <c r="Z52" s="106"/>
      <c r="AA52" s="106"/>
      <c r="AB52" s="106"/>
      <c r="AC52" s="106"/>
      <c r="AD52" s="106"/>
      <c r="AE52" s="106"/>
      <c r="AF52" s="106"/>
      <c r="AG52" s="106"/>
      <c r="AH52" s="106"/>
      <c r="AI52" s="106"/>
      <c r="AJ52" s="106"/>
    </row>
    <row r="53" spans="1:36" s="99" customFormat="1" ht="109.2">
      <c r="A53" s="77">
        <f>IF(F53&lt;&gt;"",1+MAX($A$2:A52),"")</f>
        <v>35</v>
      </c>
      <c r="B53" s="56"/>
      <c r="C53" s="107"/>
      <c r="D53" s="57" t="s">
        <v>372</v>
      </c>
      <c r="E53" s="81">
        <v>1</v>
      </c>
      <c r="F53" s="108">
        <v>0</v>
      </c>
      <c r="G53" s="109">
        <f t="shared" si="61"/>
        <v>1</v>
      </c>
      <c r="H53" s="79" t="s">
        <v>43</v>
      </c>
      <c r="I53" s="71">
        <v>1.5</v>
      </c>
      <c r="J53" s="72">
        <f t="shared" si="62"/>
        <v>1.5</v>
      </c>
      <c r="K53" s="73">
        <f>'LABOR SHEET'!C$3</f>
        <v>46.5</v>
      </c>
      <c r="L53" s="74">
        <f t="shared" si="63"/>
        <v>69.75</v>
      </c>
      <c r="M53" s="74">
        <f t="shared" si="64"/>
        <v>69.75</v>
      </c>
      <c r="N53" s="74">
        <v>310</v>
      </c>
      <c r="O53" s="74">
        <f t="shared" si="65"/>
        <v>310</v>
      </c>
      <c r="P53" s="74">
        <f t="shared" si="66"/>
        <v>379.75</v>
      </c>
      <c r="Q53" s="58">
        <f t="shared" si="67"/>
        <v>379.75</v>
      </c>
      <c r="R53" s="106"/>
      <c r="S53" s="106"/>
      <c r="T53" s="106"/>
      <c r="U53" s="106"/>
      <c r="V53" s="106"/>
      <c r="W53" s="106"/>
      <c r="X53" s="106"/>
      <c r="Y53" s="106"/>
      <c r="Z53" s="106"/>
      <c r="AA53" s="106"/>
      <c r="AB53" s="106"/>
      <c r="AC53" s="106"/>
      <c r="AD53" s="106"/>
      <c r="AE53" s="106"/>
      <c r="AF53" s="106"/>
      <c r="AG53" s="106"/>
      <c r="AH53" s="106"/>
      <c r="AI53" s="106"/>
      <c r="AJ53" s="106"/>
    </row>
    <row r="54" spans="1:36" s="99" customFormat="1" ht="93.6">
      <c r="A54" s="65">
        <f>IF(F54&lt;&gt;"",1+MAX($A$2:A53),"")</f>
        <v>36</v>
      </c>
      <c r="B54" s="56"/>
      <c r="C54" s="107"/>
      <c r="D54" s="57" t="s">
        <v>71</v>
      </c>
      <c r="E54" s="81">
        <v>1</v>
      </c>
      <c r="F54" s="108">
        <v>0</v>
      </c>
      <c r="G54" s="109">
        <f t="shared" si="61"/>
        <v>1</v>
      </c>
      <c r="H54" s="79" t="s">
        <v>43</v>
      </c>
      <c r="I54" s="71">
        <v>1.1000000000000001</v>
      </c>
      <c r="J54" s="72">
        <f t="shared" si="62"/>
        <v>1.1000000000000001</v>
      </c>
      <c r="K54" s="73">
        <f>'LABOR SHEET'!C$3</f>
        <v>46.5</v>
      </c>
      <c r="L54" s="74">
        <f t="shared" si="63"/>
        <v>51.150000000000006</v>
      </c>
      <c r="M54" s="74">
        <f t="shared" si="64"/>
        <v>51.150000000000006</v>
      </c>
      <c r="N54" s="74">
        <v>260</v>
      </c>
      <c r="O54" s="74">
        <f t="shared" si="65"/>
        <v>260</v>
      </c>
      <c r="P54" s="74">
        <f t="shared" si="66"/>
        <v>311.14999999999998</v>
      </c>
      <c r="Q54" s="58">
        <f t="shared" si="67"/>
        <v>311.14999999999998</v>
      </c>
      <c r="R54" s="106"/>
      <c r="S54" s="106"/>
      <c r="T54" s="106"/>
      <c r="U54" s="106"/>
      <c r="V54" s="106"/>
      <c r="W54" s="106"/>
      <c r="X54" s="106"/>
      <c r="Y54" s="106"/>
      <c r="Z54" s="106"/>
      <c r="AA54" s="106"/>
      <c r="AB54" s="106"/>
      <c r="AC54" s="106"/>
      <c r="AD54" s="106"/>
      <c r="AE54" s="106"/>
      <c r="AF54" s="106"/>
      <c r="AG54" s="106"/>
      <c r="AH54" s="106"/>
      <c r="AI54" s="106"/>
      <c r="AJ54" s="106"/>
    </row>
    <row r="55" spans="1:36" s="99" customFormat="1" ht="93.6">
      <c r="A55" s="77">
        <f>IF(F55&lt;&gt;"",1+MAX($A$2:A54),"")</f>
        <v>37</v>
      </c>
      <c r="B55" s="56"/>
      <c r="C55" s="107"/>
      <c r="D55" s="57" t="s">
        <v>72</v>
      </c>
      <c r="E55" s="81">
        <v>1</v>
      </c>
      <c r="F55" s="108">
        <v>0</v>
      </c>
      <c r="G55" s="109">
        <f t="shared" si="61"/>
        <v>1</v>
      </c>
      <c r="H55" s="79" t="s">
        <v>43</v>
      </c>
      <c r="I55" s="71">
        <v>1.25</v>
      </c>
      <c r="J55" s="72">
        <f t="shared" si="62"/>
        <v>1.25</v>
      </c>
      <c r="K55" s="73">
        <f>'LABOR SHEET'!C$3</f>
        <v>46.5</v>
      </c>
      <c r="L55" s="74">
        <f t="shared" si="63"/>
        <v>58.125</v>
      </c>
      <c r="M55" s="74">
        <f t="shared" si="64"/>
        <v>58.125</v>
      </c>
      <c r="N55" s="74">
        <v>310</v>
      </c>
      <c r="O55" s="74">
        <f t="shared" si="65"/>
        <v>310</v>
      </c>
      <c r="P55" s="74">
        <f t="shared" si="66"/>
        <v>368.125</v>
      </c>
      <c r="Q55" s="58">
        <f t="shared" si="67"/>
        <v>368.125</v>
      </c>
      <c r="R55" s="106"/>
      <c r="S55" s="106"/>
      <c r="T55" s="106"/>
      <c r="U55" s="106"/>
      <c r="V55" s="106"/>
      <c r="W55" s="106"/>
      <c r="X55" s="106"/>
      <c r="Y55" s="106"/>
      <c r="Z55" s="106"/>
      <c r="AA55" s="106"/>
      <c r="AB55" s="106"/>
      <c r="AC55" s="106"/>
      <c r="AD55" s="106"/>
      <c r="AE55" s="106"/>
      <c r="AF55" s="106"/>
      <c r="AG55" s="106"/>
      <c r="AH55" s="106"/>
      <c r="AI55" s="106"/>
      <c r="AJ55" s="106"/>
    </row>
    <row r="56" spans="1:36" s="99" customFormat="1" ht="62.4">
      <c r="A56" s="65">
        <f>IF(F56&lt;&gt;"",1+MAX($A$2:A55),"")</f>
        <v>38</v>
      </c>
      <c r="B56" s="56"/>
      <c r="C56" s="107"/>
      <c r="D56" s="57" t="s">
        <v>73</v>
      </c>
      <c r="E56" s="81">
        <v>2</v>
      </c>
      <c r="F56" s="108">
        <v>0</v>
      </c>
      <c r="G56" s="109">
        <f t="shared" si="61"/>
        <v>2</v>
      </c>
      <c r="H56" s="79" t="s">
        <v>43</v>
      </c>
      <c r="I56" s="71">
        <v>1</v>
      </c>
      <c r="J56" s="72">
        <f t="shared" si="62"/>
        <v>2</v>
      </c>
      <c r="K56" s="73">
        <f>'LABOR SHEET'!C$3</f>
        <v>46.5</v>
      </c>
      <c r="L56" s="74">
        <f t="shared" si="63"/>
        <v>46.5</v>
      </c>
      <c r="M56" s="74">
        <f t="shared" si="64"/>
        <v>93</v>
      </c>
      <c r="N56" s="74">
        <v>100</v>
      </c>
      <c r="O56" s="74">
        <f t="shared" si="65"/>
        <v>200</v>
      </c>
      <c r="P56" s="74">
        <f t="shared" si="66"/>
        <v>146.5</v>
      </c>
      <c r="Q56" s="58">
        <f t="shared" si="67"/>
        <v>293</v>
      </c>
      <c r="R56" s="106"/>
      <c r="S56" s="106"/>
      <c r="T56" s="106"/>
      <c r="U56" s="106"/>
      <c r="V56" s="106"/>
      <c r="W56" s="106"/>
      <c r="X56" s="106"/>
      <c r="Y56" s="106"/>
      <c r="Z56" s="106"/>
      <c r="AA56" s="106"/>
      <c r="AB56" s="106"/>
      <c r="AC56" s="106"/>
      <c r="AD56" s="106"/>
      <c r="AE56" s="106"/>
      <c r="AF56" s="106"/>
      <c r="AG56" s="106"/>
      <c r="AH56" s="106"/>
      <c r="AI56" s="106"/>
      <c r="AJ56" s="106"/>
    </row>
    <row r="57" spans="1:36" s="99" customFormat="1" ht="62.4">
      <c r="A57" s="77">
        <f>IF(F57&lt;&gt;"",1+MAX($A$2:A56),"")</f>
        <v>39</v>
      </c>
      <c r="B57" s="56"/>
      <c r="C57" s="107"/>
      <c r="D57" s="57" t="s">
        <v>74</v>
      </c>
      <c r="E57" s="81">
        <v>2</v>
      </c>
      <c r="F57" s="108">
        <v>0</v>
      </c>
      <c r="G57" s="109">
        <f t="shared" si="61"/>
        <v>2</v>
      </c>
      <c r="H57" s="79" t="s">
        <v>43</v>
      </c>
      <c r="I57" s="71">
        <v>1.1000000000000001</v>
      </c>
      <c r="J57" s="72">
        <f t="shared" si="62"/>
        <v>2.2000000000000002</v>
      </c>
      <c r="K57" s="73">
        <f>'LABOR SHEET'!C$3</f>
        <v>46.5</v>
      </c>
      <c r="L57" s="74">
        <f t="shared" si="63"/>
        <v>51.150000000000006</v>
      </c>
      <c r="M57" s="74">
        <f t="shared" si="64"/>
        <v>102.30000000000001</v>
      </c>
      <c r="N57" s="74">
        <v>210</v>
      </c>
      <c r="O57" s="74">
        <f t="shared" si="65"/>
        <v>420</v>
      </c>
      <c r="P57" s="74">
        <f t="shared" si="66"/>
        <v>261.14999999999998</v>
      </c>
      <c r="Q57" s="58">
        <f t="shared" si="67"/>
        <v>522.29999999999995</v>
      </c>
      <c r="R57" s="106"/>
      <c r="S57" s="106"/>
      <c r="T57" s="106"/>
      <c r="U57" s="106"/>
      <c r="V57" s="106"/>
      <c r="W57" s="106"/>
      <c r="X57" s="106"/>
      <c r="Y57" s="106"/>
      <c r="Z57" s="106"/>
      <c r="AA57" s="106"/>
      <c r="AB57" s="106"/>
      <c r="AC57" s="106"/>
      <c r="AD57" s="106"/>
      <c r="AE57" s="106"/>
      <c r="AF57" s="106"/>
      <c r="AG57" s="106"/>
      <c r="AH57" s="106"/>
      <c r="AI57" s="106"/>
      <c r="AJ57" s="106"/>
    </row>
    <row r="58" spans="1:36" s="99" customFormat="1" ht="62.4">
      <c r="A58" s="65">
        <f>IF(F58&lt;&gt;"",1+MAX($A$2:A57),"")</f>
        <v>40</v>
      </c>
      <c r="B58" s="56"/>
      <c r="C58" s="107"/>
      <c r="D58" s="57" t="s">
        <v>75</v>
      </c>
      <c r="E58" s="81">
        <v>2</v>
      </c>
      <c r="F58" s="108">
        <v>0</v>
      </c>
      <c r="G58" s="109">
        <f t="shared" si="61"/>
        <v>2</v>
      </c>
      <c r="H58" s="79" t="s">
        <v>43</v>
      </c>
      <c r="I58" s="71">
        <v>3</v>
      </c>
      <c r="J58" s="72">
        <f t="shared" si="62"/>
        <v>6</v>
      </c>
      <c r="K58" s="73">
        <f>'LABOR SHEET'!C$3</f>
        <v>46.5</v>
      </c>
      <c r="L58" s="74">
        <f t="shared" si="63"/>
        <v>139.5</v>
      </c>
      <c r="M58" s="74">
        <f t="shared" si="64"/>
        <v>279</v>
      </c>
      <c r="N58" s="74">
        <v>550</v>
      </c>
      <c r="O58" s="74">
        <f t="shared" si="65"/>
        <v>1100</v>
      </c>
      <c r="P58" s="74">
        <f t="shared" si="66"/>
        <v>689.5</v>
      </c>
      <c r="Q58" s="58">
        <f t="shared" si="67"/>
        <v>1379</v>
      </c>
      <c r="R58" s="106"/>
      <c r="S58" s="106"/>
      <c r="T58" s="106"/>
      <c r="U58" s="106"/>
      <c r="V58" s="106"/>
      <c r="W58" s="106"/>
      <c r="X58" s="106"/>
      <c r="Y58" s="106"/>
      <c r="Z58" s="106"/>
      <c r="AA58" s="106"/>
      <c r="AB58" s="106"/>
      <c r="AC58" s="106"/>
      <c r="AD58" s="106"/>
      <c r="AE58" s="106"/>
      <c r="AF58" s="106"/>
      <c r="AG58" s="106"/>
      <c r="AH58" s="106"/>
      <c r="AI58" s="106"/>
      <c r="AJ58" s="106"/>
    </row>
    <row r="59" spans="1:36" s="99" customFormat="1" ht="62.4">
      <c r="A59" s="77">
        <f>IF(F59&lt;&gt;"",1+MAX($A$2:A58),"")</f>
        <v>41</v>
      </c>
      <c r="B59" s="56"/>
      <c r="C59" s="107"/>
      <c r="D59" s="57" t="s">
        <v>76</v>
      </c>
      <c r="E59" s="81">
        <v>1</v>
      </c>
      <c r="F59" s="108">
        <v>0</v>
      </c>
      <c r="G59" s="109">
        <f t="shared" si="61"/>
        <v>1</v>
      </c>
      <c r="H59" s="79" t="s">
        <v>43</v>
      </c>
      <c r="I59" s="71">
        <v>3.5</v>
      </c>
      <c r="J59" s="72">
        <f t="shared" si="62"/>
        <v>3.5</v>
      </c>
      <c r="K59" s="73">
        <f>'LABOR SHEET'!C$3</f>
        <v>46.5</v>
      </c>
      <c r="L59" s="74">
        <f t="shared" si="63"/>
        <v>162.75</v>
      </c>
      <c r="M59" s="74">
        <f t="shared" si="64"/>
        <v>162.75</v>
      </c>
      <c r="N59" s="74">
        <v>610</v>
      </c>
      <c r="O59" s="74">
        <f t="shared" si="65"/>
        <v>610</v>
      </c>
      <c r="P59" s="74">
        <f t="shared" si="66"/>
        <v>772.75</v>
      </c>
      <c r="Q59" s="58">
        <f t="shared" si="67"/>
        <v>772.75</v>
      </c>
      <c r="R59" s="106"/>
      <c r="S59" s="106"/>
      <c r="T59" s="106"/>
      <c r="U59" s="106"/>
      <c r="V59" s="106"/>
      <c r="W59" s="106"/>
      <c r="X59" s="106"/>
      <c r="Y59" s="106"/>
      <c r="Z59" s="106"/>
      <c r="AA59" s="106"/>
      <c r="AB59" s="106"/>
      <c r="AC59" s="106"/>
      <c r="AD59" s="106"/>
      <c r="AE59" s="106"/>
      <c r="AF59" s="106"/>
      <c r="AG59" s="106"/>
      <c r="AH59" s="106"/>
      <c r="AI59" s="106"/>
      <c r="AJ59" s="106"/>
    </row>
    <row r="60" spans="1:36" s="99" customFormat="1" ht="124.8">
      <c r="A60" s="65">
        <f>IF(F60&lt;&gt;"",1+MAX($A$2:A59),"")</f>
        <v>42</v>
      </c>
      <c r="B60" s="56"/>
      <c r="C60" s="107"/>
      <c r="D60" s="57" t="s">
        <v>77</v>
      </c>
      <c r="E60" s="81">
        <v>2</v>
      </c>
      <c r="F60" s="108">
        <v>0</v>
      </c>
      <c r="G60" s="109">
        <f t="shared" si="61"/>
        <v>2</v>
      </c>
      <c r="H60" s="79" t="s">
        <v>43</v>
      </c>
      <c r="I60" s="71">
        <v>2</v>
      </c>
      <c r="J60" s="72">
        <f t="shared" si="62"/>
        <v>4</v>
      </c>
      <c r="K60" s="73">
        <f>'LABOR SHEET'!C$3</f>
        <v>46.5</v>
      </c>
      <c r="L60" s="74">
        <f t="shared" si="63"/>
        <v>93</v>
      </c>
      <c r="M60" s="74">
        <f t="shared" si="64"/>
        <v>186</v>
      </c>
      <c r="N60" s="74">
        <v>310</v>
      </c>
      <c r="O60" s="74">
        <f t="shared" si="65"/>
        <v>620</v>
      </c>
      <c r="P60" s="74">
        <f t="shared" si="66"/>
        <v>403</v>
      </c>
      <c r="Q60" s="58">
        <f t="shared" si="67"/>
        <v>806</v>
      </c>
      <c r="R60" s="106"/>
      <c r="S60" s="106"/>
      <c r="T60" s="106"/>
      <c r="U60" s="106"/>
      <c r="V60" s="106"/>
      <c r="W60" s="106"/>
      <c r="X60" s="106"/>
      <c r="Y60" s="106"/>
      <c r="Z60" s="106"/>
      <c r="AA60" s="106"/>
      <c r="AB60" s="106"/>
      <c r="AC60" s="106"/>
      <c r="AD60" s="106"/>
      <c r="AE60" s="106"/>
      <c r="AF60" s="106"/>
      <c r="AG60" s="106"/>
      <c r="AH60" s="106"/>
      <c r="AI60" s="106"/>
      <c r="AJ60" s="106"/>
    </row>
    <row r="61" spans="1:36" s="99" customFormat="1" ht="124.8">
      <c r="A61" s="77">
        <f>IF(F61&lt;&gt;"",1+MAX($A$2:A60),"")</f>
        <v>43</v>
      </c>
      <c r="B61" s="56"/>
      <c r="C61" s="107"/>
      <c r="D61" s="57" t="s">
        <v>78</v>
      </c>
      <c r="E61" s="81">
        <v>2</v>
      </c>
      <c r="F61" s="108">
        <v>0</v>
      </c>
      <c r="G61" s="109">
        <f t="shared" si="61"/>
        <v>2</v>
      </c>
      <c r="H61" s="79" t="s">
        <v>43</v>
      </c>
      <c r="I61" s="71">
        <v>1.3</v>
      </c>
      <c r="J61" s="72">
        <f t="shared" si="62"/>
        <v>2.6</v>
      </c>
      <c r="K61" s="73">
        <f>'LABOR SHEET'!C$3</f>
        <v>46.5</v>
      </c>
      <c r="L61" s="74">
        <f t="shared" si="63"/>
        <v>60.45</v>
      </c>
      <c r="M61" s="74">
        <f t="shared" si="64"/>
        <v>120.9</v>
      </c>
      <c r="N61" s="74">
        <v>240</v>
      </c>
      <c r="O61" s="74">
        <f t="shared" si="65"/>
        <v>480</v>
      </c>
      <c r="P61" s="74">
        <f t="shared" si="66"/>
        <v>300.45</v>
      </c>
      <c r="Q61" s="58">
        <f t="shared" si="67"/>
        <v>600.9</v>
      </c>
      <c r="R61" s="106"/>
      <c r="S61" s="106"/>
      <c r="T61" s="106"/>
      <c r="U61" s="106"/>
      <c r="V61" s="106"/>
      <c r="W61" s="106"/>
      <c r="X61" s="106"/>
      <c r="Y61" s="106"/>
      <c r="Z61" s="106"/>
      <c r="AA61" s="106"/>
      <c r="AB61" s="106"/>
      <c r="AC61" s="106"/>
      <c r="AD61" s="106"/>
      <c r="AE61" s="106"/>
      <c r="AF61" s="106"/>
      <c r="AG61" s="106"/>
      <c r="AH61" s="106"/>
      <c r="AI61" s="106"/>
      <c r="AJ61" s="106"/>
    </row>
    <row r="62" spans="1:36" s="99" customFormat="1" ht="124.8">
      <c r="A62" s="65">
        <f>IF(F62&lt;&gt;"",1+MAX($A$2:A61),"")</f>
        <v>44</v>
      </c>
      <c r="B62" s="56"/>
      <c r="C62" s="107"/>
      <c r="D62" s="57" t="s">
        <v>79</v>
      </c>
      <c r="E62" s="81">
        <v>3</v>
      </c>
      <c r="F62" s="108">
        <v>0</v>
      </c>
      <c r="G62" s="109">
        <f t="shared" si="61"/>
        <v>3</v>
      </c>
      <c r="H62" s="79" t="s">
        <v>43</v>
      </c>
      <c r="I62" s="71">
        <v>1.5</v>
      </c>
      <c r="J62" s="72">
        <f t="shared" si="62"/>
        <v>4.5</v>
      </c>
      <c r="K62" s="73">
        <f>'LABOR SHEET'!C$3</f>
        <v>46.5</v>
      </c>
      <c r="L62" s="74">
        <f t="shared" si="63"/>
        <v>69.75</v>
      </c>
      <c r="M62" s="74">
        <f t="shared" si="64"/>
        <v>209.25</v>
      </c>
      <c r="N62" s="74">
        <v>210</v>
      </c>
      <c r="O62" s="74">
        <f t="shared" si="65"/>
        <v>630</v>
      </c>
      <c r="P62" s="74">
        <f t="shared" si="66"/>
        <v>279.75</v>
      </c>
      <c r="Q62" s="58">
        <f t="shared" si="67"/>
        <v>839.25</v>
      </c>
      <c r="R62" s="106"/>
      <c r="S62" s="106"/>
      <c r="T62" s="106"/>
      <c r="U62" s="106"/>
      <c r="V62" s="106"/>
      <c r="W62" s="106"/>
      <c r="X62" s="106"/>
      <c r="Y62" s="106"/>
      <c r="Z62" s="106"/>
      <c r="AA62" s="106"/>
      <c r="AB62" s="106"/>
      <c r="AC62" s="106"/>
      <c r="AD62" s="106"/>
      <c r="AE62" s="106"/>
      <c r="AF62" s="106"/>
      <c r="AG62" s="106"/>
      <c r="AH62" s="106"/>
      <c r="AI62" s="106"/>
      <c r="AJ62" s="106"/>
    </row>
    <row r="63" spans="1:36" s="99" customFormat="1" ht="140.4">
      <c r="A63" s="77">
        <f>IF(F63&lt;&gt;"",1+MAX($A$2:A62),"")</f>
        <v>45</v>
      </c>
      <c r="B63" s="56"/>
      <c r="C63" s="107"/>
      <c r="D63" s="57" t="s">
        <v>80</v>
      </c>
      <c r="E63" s="81">
        <v>1</v>
      </c>
      <c r="F63" s="108">
        <v>0</v>
      </c>
      <c r="G63" s="109">
        <f t="shared" si="61"/>
        <v>1</v>
      </c>
      <c r="H63" s="79" t="s">
        <v>43</v>
      </c>
      <c r="I63" s="71">
        <v>1.6</v>
      </c>
      <c r="J63" s="72">
        <f t="shared" si="62"/>
        <v>1.6</v>
      </c>
      <c r="K63" s="73">
        <f>'LABOR SHEET'!C$3</f>
        <v>46.5</v>
      </c>
      <c r="L63" s="74">
        <f t="shared" si="63"/>
        <v>74.400000000000006</v>
      </c>
      <c r="M63" s="74">
        <f t="shared" si="64"/>
        <v>74.400000000000006</v>
      </c>
      <c r="N63" s="74">
        <v>330</v>
      </c>
      <c r="O63" s="74">
        <f t="shared" si="65"/>
        <v>330</v>
      </c>
      <c r="P63" s="74">
        <f t="shared" si="66"/>
        <v>404.4</v>
      </c>
      <c r="Q63" s="58">
        <f t="shared" si="67"/>
        <v>404.4</v>
      </c>
      <c r="R63" s="106"/>
      <c r="S63" s="106"/>
      <c r="T63" s="106"/>
      <c r="U63" s="106"/>
      <c r="V63" s="106"/>
      <c r="W63" s="106"/>
      <c r="X63" s="106"/>
      <c r="Y63" s="106"/>
      <c r="Z63" s="106"/>
      <c r="AA63" s="106"/>
      <c r="AB63" s="106"/>
      <c r="AC63" s="106"/>
      <c r="AD63" s="106"/>
      <c r="AE63" s="106"/>
      <c r="AF63" s="106"/>
      <c r="AG63" s="106"/>
      <c r="AH63" s="106"/>
      <c r="AI63" s="106"/>
      <c r="AJ63" s="106"/>
    </row>
    <row r="64" spans="1:36" s="99" customFormat="1" ht="140.4">
      <c r="A64" s="65">
        <f>IF(F64&lt;&gt;"",1+MAX($A$2:A63),"")</f>
        <v>46</v>
      </c>
      <c r="B64" s="56"/>
      <c r="C64" s="107"/>
      <c r="D64" s="57" t="s">
        <v>81</v>
      </c>
      <c r="E64" s="81">
        <v>1</v>
      </c>
      <c r="F64" s="108">
        <v>0</v>
      </c>
      <c r="G64" s="109">
        <f t="shared" si="61"/>
        <v>1</v>
      </c>
      <c r="H64" s="79" t="s">
        <v>43</v>
      </c>
      <c r="I64" s="71">
        <v>1.5</v>
      </c>
      <c r="J64" s="72">
        <f t="shared" si="62"/>
        <v>1.5</v>
      </c>
      <c r="K64" s="73">
        <f>'LABOR SHEET'!C$3</f>
        <v>46.5</v>
      </c>
      <c r="L64" s="74">
        <f t="shared" si="63"/>
        <v>69.75</v>
      </c>
      <c r="M64" s="74">
        <f t="shared" si="64"/>
        <v>69.75</v>
      </c>
      <c r="N64" s="74">
        <v>340</v>
      </c>
      <c r="O64" s="74">
        <f t="shared" si="65"/>
        <v>340</v>
      </c>
      <c r="P64" s="74">
        <f t="shared" si="66"/>
        <v>409.75</v>
      </c>
      <c r="Q64" s="58">
        <f t="shared" si="67"/>
        <v>409.75</v>
      </c>
      <c r="R64" s="106"/>
      <c r="S64" s="106"/>
      <c r="T64" s="106"/>
      <c r="U64" s="106"/>
      <c r="V64" s="106"/>
      <c r="W64" s="106"/>
      <c r="X64" s="106"/>
      <c r="Y64" s="106"/>
      <c r="Z64" s="106"/>
      <c r="AA64" s="106"/>
      <c r="AB64" s="106"/>
      <c r="AC64" s="106"/>
      <c r="AD64" s="106"/>
      <c r="AE64" s="106"/>
      <c r="AF64" s="106"/>
      <c r="AG64" s="106"/>
      <c r="AH64" s="106"/>
      <c r="AI64" s="106"/>
      <c r="AJ64" s="106"/>
    </row>
    <row r="65" spans="1:36" s="99" customFormat="1" ht="140.4">
      <c r="A65" s="77">
        <f>IF(F65&lt;&gt;"",1+MAX($A$2:A64),"")</f>
        <v>47</v>
      </c>
      <c r="B65" s="56"/>
      <c r="C65" s="107"/>
      <c r="D65" s="57" t="s">
        <v>82</v>
      </c>
      <c r="E65" s="81">
        <v>6</v>
      </c>
      <c r="F65" s="108">
        <v>0</v>
      </c>
      <c r="G65" s="109">
        <f t="shared" si="61"/>
        <v>6</v>
      </c>
      <c r="H65" s="79" t="s">
        <v>43</v>
      </c>
      <c r="I65" s="71">
        <v>1.8</v>
      </c>
      <c r="J65" s="72">
        <f t="shared" si="62"/>
        <v>10.8</v>
      </c>
      <c r="K65" s="73">
        <f>'LABOR SHEET'!C$3</f>
        <v>46.5</v>
      </c>
      <c r="L65" s="74">
        <f t="shared" si="63"/>
        <v>83.7</v>
      </c>
      <c r="M65" s="74">
        <f t="shared" si="64"/>
        <v>502.20000000000005</v>
      </c>
      <c r="N65" s="74">
        <v>350</v>
      </c>
      <c r="O65" s="74">
        <f t="shared" si="65"/>
        <v>2100</v>
      </c>
      <c r="P65" s="74">
        <f t="shared" si="66"/>
        <v>433.7</v>
      </c>
      <c r="Q65" s="58">
        <f t="shared" si="67"/>
        <v>2602.1999999999998</v>
      </c>
      <c r="R65" s="106"/>
      <c r="S65" s="106"/>
      <c r="T65" s="106"/>
      <c r="U65" s="106"/>
      <c r="V65" s="106"/>
      <c r="W65" s="106"/>
      <c r="X65" s="106"/>
      <c r="Y65" s="106"/>
      <c r="Z65" s="106"/>
      <c r="AA65" s="106"/>
      <c r="AB65" s="106"/>
      <c r="AC65" s="106"/>
      <c r="AD65" s="106"/>
      <c r="AE65" s="106"/>
      <c r="AF65" s="106"/>
      <c r="AG65" s="106"/>
      <c r="AH65" s="106"/>
      <c r="AI65" s="106"/>
      <c r="AJ65" s="106"/>
    </row>
    <row r="66" spans="1:36" s="99" customFormat="1" ht="124.8">
      <c r="A66" s="65">
        <f>IF(F66&lt;&gt;"",1+MAX($A$2:A65),"")</f>
        <v>48</v>
      </c>
      <c r="B66" s="56"/>
      <c r="C66" s="107"/>
      <c r="D66" s="57" t="s">
        <v>83</v>
      </c>
      <c r="E66" s="81">
        <v>12</v>
      </c>
      <c r="F66" s="108">
        <v>0</v>
      </c>
      <c r="G66" s="109">
        <f t="shared" si="61"/>
        <v>12</v>
      </c>
      <c r="H66" s="79" t="s">
        <v>43</v>
      </c>
      <c r="I66" s="71">
        <v>1.85</v>
      </c>
      <c r="J66" s="72">
        <f t="shared" si="62"/>
        <v>22.200000000000003</v>
      </c>
      <c r="K66" s="73">
        <f>'LABOR SHEET'!C$3</f>
        <v>46.5</v>
      </c>
      <c r="L66" s="74">
        <f t="shared" si="63"/>
        <v>86.025000000000006</v>
      </c>
      <c r="M66" s="74">
        <f t="shared" si="64"/>
        <v>1032.3000000000002</v>
      </c>
      <c r="N66" s="74">
        <v>360</v>
      </c>
      <c r="O66" s="74">
        <f t="shared" si="65"/>
        <v>4320</v>
      </c>
      <c r="P66" s="74">
        <f t="shared" si="66"/>
        <v>446.02499999999998</v>
      </c>
      <c r="Q66" s="58">
        <f t="shared" si="67"/>
        <v>5352.2999999999993</v>
      </c>
      <c r="R66" s="106"/>
      <c r="S66" s="106"/>
      <c r="T66" s="106"/>
      <c r="U66" s="106"/>
      <c r="V66" s="106"/>
      <c r="W66" s="106"/>
      <c r="X66" s="106"/>
      <c r="Y66" s="106"/>
      <c r="Z66" s="106"/>
      <c r="AA66" s="106"/>
      <c r="AB66" s="106"/>
      <c r="AC66" s="106"/>
      <c r="AD66" s="106"/>
      <c r="AE66" s="106"/>
      <c r="AF66" s="106"/>
      <c r="AG66" s="106"/>
      <c r="AH66" s="106"/>
      <c r="AI66" s="106"/>
      <c r="AJ66" s="106"/>
    </row>
    <row r="67" spans="1:36" s="99" customFormat="1" ht="78">
      <c r="A67" s="77">
        <f>IF(F67&lt;&gt;"",1+MAX($A$2:A66),"")</f>
        <v>49</v>
      </c>
      <c r="B67" s="56"/>
      <c r="C67" s="107"/>
      <c r="D67" s="57" t="s">
        <v>84</v>
      </c>
      <c r="E67" s="81">
        <v>2</v>
      </c>
      <c r="F67" s="108">
        <v>0</v>
      </c>
      <c r="G67" s="109">
        <f t="shared" si="61"/>
        <v>2</v>
      </c>
      <c r="H67" s="79" t="s">
        <v>43</v>
      </c>
      <c r="I67" s="71">
        <v>1</v>
      </c>
      <c r="J67" s="72">
        <f t="shared" si="62"/>
        <v>2</v>
      </c>
      <c r="K67" s="73">
        <f>'LABOR SHEET'!C$3</f>
        <v>46.5</v>
      </c>
      <c r="L67" s="74">
        <f t="shared" si="63"/>
        <v>46.5</v>
      </c>
      <c r="M67" s="74">
        <f t="shared" si="64"/>
        <v>93</v>
      </c>
      <c r="N67" s="74">
        <v>80</v>
      </c>
      <c r="O67" s="74">
        <f t="shared" si="65"/>
        <v>160</v>
      </c>
      <c r="P67" s="74">
        <f t="shared" si="66"/>
        <v>126.5</v>
      </c>
      <c r="Q67" s="58">
        <f t="shared" si="67"/>
        <v>253</v>
      </c>
      <c r="R67" s="106"/>
      <c r="S67" s="106"/>
      <c r="T67" s="106"/>
      <c r="U67" s="106"/>
      <c r="V67" s="106"/>
      <c r="W67" s="106"/>
      <c r="X67" s="106"/>
      <c r="Y67" s="106"/>
      <c r="Z67" s="106"/>
      <c r="AA67" s="106"/>
      <c r="AB67" s="106"/>
      <c r="AC67" s="106"/>
      <c r="AD67" s="106"/>
      <c r="AE67" s="106"/>
      <c r="AF67" s="106"/>
      <c r="AG67" s="106"/>
      <c r="AH67" s="106"/>
      <c r="AI67" s="106"/>
      <c r="AJ67" s="106"/>
    </row>
    <row r="68" spans="1:36" s="99" customFormat="1" ht="62.4">
      <c r="A68" s="65">
        <f>IF(F68&lt;&gt;"",1+MAX($A$2:A67),"")</f>
        <v>50</v>
      </c>
      <c r="B68" s="56"/>
      <c r="C68" s="107"/>
      <c r="D68" s="57" t="s">
        <v>85</v>
      </c>
      <c r="E68" s="81">
        <v>1</v>
      </c>
      <c r="F68" s="108">
        <v>0</v>
      </c>
      <c r="G68" s="109">
        <f t="shared" si="61"/>
        <v>1</v>
      </c>
      <c r="H68" s="79" t="s">
        <v>43</v>
      </c>
      <c r="I68" s="71">
        <v>1</v>
      </c>
      <c r="J68" s="72">
        <f t="shared" si="62"/>
        <v>1</v>
      </c>
      <c r="K68" s="73">
        <f>'LABOR SHEET'!C$3</f>
        <v>46.5</v>
      </c>
      <c r="L68" s="74">
        <f t="shared" si="63"/>
        <v>46.5</v>
      </c>
      <c r="M68" s="74">
        <f t="shared" si="64"/>
        <v>46.5</v>
      </c>
      <c r="N68" s="74">
        <v>80</v>
      </c>
      <c r="O68" s="74">
        <f t="shared" si="65"/>
        <v>80</v>
      </c>
      <c r="P68" s="74">
        <f t="shared" si="66"/>
        <v>126.5</v>
      </c>
      <c r="Q68" s="58">
        <f t="shared" si="67"/>
        <v>126.5</v>
      </c>
      <c r="R68" s="106"/>
      <c r="S68" s="106"/>
      <c r="T68" s="106"/>
      <c r="U68" s="106"/>
      <c r="V68" s="106"/>
      <c r="W68" s="106"/>
      <c r="X68" s="106"/>
      <c r="Y68" s="106"/>
      <c r="Z68" s="106"/>
      <c r="AA68" s="106"/>
      <c r="AB68" s="106"/>
      <c r="AC68" s="106"/>
      <c r="AD68" s="106"/>
      <c r="AE68" s="106"/>
      <c r="AF68" s="106"/>
      <c r="AG68" s="106"/>
      <c r="AH68" s="106"/>
      <c r="AI68" s="106"/>
      <c r="AJ68" s="106"/>
    </row>
    <row r="69" spans="1:36" s="99" customFormat="1" ht="62.4">
      <c r="A69" s="77">
        <f>IF(F69&lt;&gt;"",1+MAX($A$2:A68),"")</f>
        <v>51</v>
      </c>
      <c r="B69" s="56"/>
      <c r="C69" s="107"/>
      <c r="D69" s="57" t="s">
        <v>86</v>
      </c>
      <c r="E69" s="81">
        <v>4</v>
      </c>
      <c r="F69" s="108">
        <v>0</v>
      </c>
      <c r="G69" s="109">
        <f t="shared" si="61"/>
        <v>4</v>
      </c>
      <c r="H69" s="79" t="s">
        <v>43</v>
      </c>
      <c r="I69" s="71">
        <v>1.1000000000000001</v>
      </c>
      <c r="J69" s="72">
        <f t="shared" si="62"/>
        <v>4.4000000000000004</v>
      </c>
      <c r="K69" s="73">
        <f>'LABOR SHEET'!C$3</f>
        <v>46.5</v>
      </c>
      <c r="L69" s="74">
        <f t="shared" si="63"/>
        <v>51.150000000000006</v>
      </c>
      <c r="M69" s="74">
        <f t="shared" si="64"/>
        <v>204.60000000000002</v>
      </c>
      <c r="N69" s="74">
        <v>135</v>
      </c>
      <c r="O69" s="74">
        <f t="shared" si="65"/>
        <v>540</v>
      </c>
      <c r="P69" s="74">
        <f t="shared" si="66"/>
        <v>186.15</v>
      </c>
      <c r="Q69" s="58">
        <f t="shared" si="67"/>
        <v>744.6</v>
      </c>
      <c r="R69" s="106"/>
      <c r="S69" s="106"/>
      <c r="T69" s="106"/>
      <c r="U69" s="106"/>
      <c r="V69" s="106"/>
      <c r="W69" s="106"/>
      <c r="X69" s="106"/>
      <c r="Y69" s="106"/>
      <c r="Z69" s="106"/>
      <c r="AA69" s="106"/>
      <c r="AB69" s="106"/>
      <c r="AC69" s="106"/>
      <c r="AD69" s="106"/>
      <c r="AE69" s="106"/>
      <c r="AF69" s="106"/>
      <c r="AG69" s="106"/>
      <c r="AH69" s="106"/>
      <c r="AI69" s="106"/>
      <c r="AJ69" s="106"/>
    </row>
    <row r="70" spans="1:36" s="99" customFormat="1" ht="62.4">
      <c r="A70" s="65">
        <f>IF(F70&lt;&gt;"",1+MAX($A$2:A69),"")</f>
        <v>52</v>
      </c>
      <c r="B70" s="56"/>
      <c r="C70" s="107"/>
      <c r="D70" s="57" t="s">
        <v>87</v>
      </c>
      <c r="E70" s="81">
        <v>1</v>
      </c>
      <c r="F70" s="108">
        <v>0</v>
      </c>
      <c r="G70" s="109">
        <f t="shared" si="61"/>
        <v>1</v>
      </c>
      <c r="H70" s="79" t="s">
        <v>43</v>
      </c>
      <c r="I70" s="71">
        <v>1.1499999999999999</v>
      </c>
      <c r="J70" s="72">
        <f t="shared" si="62"/>
        <v>1.1499999999999999</v>
      </c>
      <c r="K70" s="73">
        <f>'LABOR SHEET'!C$3</f>
        <v>46.5</v>
      </c>
      <c r="L70" s="74">
        <f t="shared" si="63"/>
        <v>53.474999999999994</v>
      </c>
      <c r="M70" s="74">
        <f t="shared" si="64"/>
        <v>53.474999999999994</v>
      </c>
      <c r="N70" s="74">
        <v>210</v>
      </c>
      <c r="O70" s="74">
        <f t="shared" si="65"/>
        <v>210</v>
      </c>
      <c r="P70" s="74">
        <f t="shared" si="66"/>
        <v>263.47500000000002</v>
      </c>
      <c r="Q70" s="58">
        <f t="shared" si="67"/>
        <v>263.47500000000002</v>
      </c>
      <c r="R70" s="106"/>
      <c r="S70" s="106"/>
      <c r="T70" s="106"/>
      <c r="U70" s="106"/>
      <c r="V70" s="106"/>
      <c r="W70" s="106"/>
      <c r="X70" s="106"/>
      <c r="Y70" s="106"/>
      <c r="Z70" s="106"/>
      <c r="AA70" s="106"/>
      <c r="AB70" s="106"/>
      <c r="AC70" s="106"/>
      <c r="AD70" s="106"/>
      <c r="AE70" s="106"/>
      <c r="AF70" s="106"/>
      <c r="AG70" s="106"/>
      <c r="AH70" s="106"/>
      <c r="AI70" s="106"/>
      <c r="AJ70" s="106"/>
    </row>
    <row r="71" spans="1:36" s="99" customFormat="1" ht="62.4">
      <c r="A71" s="77">
        <f>IF(F71&lt;&gt;"",1+MAX($A$2:A70),"")</f>
        <v>53</v>
      </c>
      <c r="B71" s="56"/>
      <c r="C71" s="107"/>
      <c r="D71" s="57" t="s">
        <v>88</v>
      </c>
      <c r="E71" s="81">
        <v>2</v>
      </c>
      <c r="F71" s="108">
        <v>0</v>
      </c>
      <c r="G71" s="109">
        <f t="shared" si="61"/>
        <v>2</v>
      </c>
      <c r="H71" s="79" t="s">
        <v>43</v>
      </c>
      <c r="I71" s="71">
        <v>1.2</v>
      </c>
      <c r="J71" s="72">
        <f t="shared" si="62"/>
        <v>2.4</v>
      </c>
      <c r="K71" s="73">
        <f>'LABOR SHEET'!C$3</f>
        <v>46.5</v>
      </c>
      <c r="L71" s="74">
        <f t="shared" si="63"/>
        <v>55.8</v>
      </c>
      <c r="M71" s="74">
        <f t="shared" si="64"/>
        <v>111.6</v>
      </c>
      <c r="N71" s="74">
        <v>220</v>
      </c>
      <c r="O71" s="74">
        <f t="shared" si="65"/>
        <v>440</v>
      </c>
      <c r="P71" s="74">
        <f t="shared" si="66"/>
        <v>275.8</v>
      </c>
      <c r="Q71" s="58">
        <f t="shared" si="67"/>
        <v>551.6</v>
      </c>
      <c r="R71" s="106"/>
      <c r="S71" s="106"/>
      <c r="T71" s="106"/>
      <c r="U71" s="106"/>
      <c r="V71" s="106"/>
      <c r="W71" s="106"/>
      <c r="X71" s="106"/>
      <c r="Y71" s="106"/>
      <c r="Z71" s="106"/>
      <c r="AA71" s="106"/>
      <c r="AB71" s="106"/>
      <c r="AC71" s="106"/>
      <c r="AD71" s="106"/>
      <c r="AE71" s="106"/>
      <c r="AF71" s="106"/>
      <c r="AG71" s="106"/>
      <c r="AH71" s="106"/>
      <c r="AI71" s="106"/>
      <c r="AJ71" s="106"/>
    </row>
    <row r="72" spans="1:36" s="99" customFormat="1" ht="62.4">
      <c r="A72" s="65">
        <f>IF(F72&lt;&gt;"",1+MAX($A$2:A71),"")</f>
        <v>54</v>
      </c>
      <c r="B72" s="56"/>
      <c r="C72" s="107"/>
      <c r="D72" s="57" t="s">
        <v>89</v>
      </c>
      <c r="E72" s="81">
        <v>3</v>
      </c>
      <c r="F72" s="108">
        <v>0</v>
      </c>
      <c r="G72" s="109">
        <f t="shared" si="61"/>
        <v>3</v>
      </c>
      <c r="H72" s="79" t="s">
        <v>43</v>
      </c>
      <c r="I72" s="71">
        <v>1.25</v>
      </c>
      <c r="J72" s="72">
        <f t="shared" si="62"/>
        <v>3.75</v>
      </c>
      <c r="K72" s="73">
        <f>'LABOR SHEET'!C$3</f>
        <v>46.5</v>
      </c>
      <c r="L72" s="74">
        <f t="shared" si="63"/>
        <v>58.125</v>
      </c>
      <c r="M72" s="74">
        <f t="shared" si="64"/>
        <v>174.375</v>
      </c>
      <c r="N72" s="74">
        <v>260</v>
      </c>
      <c r="O72" s="74">
        <f t="shared" si="65"/>
        <v>780</v>
      </c>
      <c r="P72" s="74">
        <f t="shared" si="66"/>
        <v>318.125</v>
      </c>
      <c r="Q72" s="58">
        <f t="shared" si="67"/>
        <v>954.375</v>
      </c>
      <c r="R72" s="106"/>
      <c r="S72" s="106"/>
      <c r="T72" s="106"/>
      <c r="U72" s="106"/>
      <c r="V72" s="106"/>
      <c r="W72" s="106"/>
      <c r="X72" s="106"/>
      <c r="Y72" s="106"/>
      <c r="Z72" s="106"/>
      <c r="AA72" s="106"/>
      <c r="AB72" s="106"/>
      <c r="AC72" s="106"/>
      <c r="AD72" s="106"/>
      <c r="AE72" s="106"/>
      <c r="AF72" s="106"/>
      <c r="AG72" s="106"/>
      <c r="AH72" s="106"/>
      <c r="AI72" s="106"/>
      <c r="AJ72" s="106"/>
    </row>
    <row r="73" spans="1:36" s="99" customFormat="1" ht="62.4">
      <c r="A73" s="77">
        <f>IF(F73&lt;&gt;"",1+MAX($A$2:A72),"")</f>
        <v>55</v>
      </c>
      <c r="B73" s="56"/>
      <c r="C73" s="107"/>
      <c r="D73" s="57" t="s">
        <v>90</v>
      </c>
      <c r="E73" s="81">
        <v>4</v>
      </c>
      <c r="F73" s="108">
        <v>0</v>
      </c>
      <c r="G73" s="109">
        <f t="shared" si="61"/>
        <v>4</v>
      </c>
      <c r="H73" s="79" t="s">
        <v>43</v>
      </c>
      <c r="I73" s="71">
        <v>1.3</v>
      </c>
      <c r="J73" s="72">
        <f t="shared" si="62"/>
        <v>5.2</v>
      </c>
      <c r="K73" s="73">
        <f>'LABOR SHEET'!C$3</f>
        <v>46.5</v>
      </c>
      <c r="L73" s="74">
        <f t="shared" si="63"/>
        <v>60.45</v>
      </c>
      <c r="M73" s="74">
        <f t="shared" si="64"/>
        <v>241.8</v>
      </c>
      <c r="N73" s="74">
        <v>310</v>
      </c>
      <c r="O73" s="74">
        <f t="shared" si="65"/>
        <v>1240</v>
      </c>
      <c r="P73" s="74">
        <f t="shared" si="66"/>
        <v>370.45</v>
      </c>
      <c r="Q73" s="58">
        <f t="shared" si="67"/>
        <v>1481.8</v>
      </c>
      <c r="R73" s="106"/>
      <c r="S73" s="106"/>
      <c r="T73" s="106"/>
      <c r="U73" s="106"/>
      <c r="V73" s="106"/>
      <c r="W73" s="106"/>
      <c r="X73" s="106"/>
      <c r="Y73" s="106"/>
      <c r="Z73" s="106"/>
      <c r="AA73" s="106"/>
      <c r="AB73" s="106"/>
      <c r="AC73" s="106"/>
      <c r="AD73" s="106"/>
      <c r="AE73" s="106"/>
      <c r="AF73" s="106"/>
      <c r="AG73" s="106"/>
      <c r="AH73" s="106"/>
      <c r="AI73" s="106"/>
      <c r="AJ73" s="106"/>
    </row>
    <row r="74" spans="1:36" s="99" customFormat="1" ht="62.4">
      <c r="A74" s="65">
        <f>IF(F74&lt;&gt;"",1+MAX($A$2:A73),"")</f>
        <v>56</v>
      </c>
      <c r="B74" s="56"/>
      <c r="C74" s="107"/>
      <c r="D74" s="57" t="s">
        <v>91</v>
      </c>
      <c r="E74" s="81">
        <v>2</v>
      </c>
      <c r="F74" s="108">
        <v>0</v>
      </c>
      <c r="G74" s="109">
        <f t="shared" ref="G74:G80" si="68">E74*(1+F74)</f>
        <v>2</v>
      </c>
      <c r="H74" s="79" t="s">
        <v>43</v>
      </c>
      <c r="I74" s="71">
        <v>1.35</v>
      </c>
      <c r="J74" s="72">
        <f t="shared" si="62"/>
        <v>2.7</v>
      </c>
      <c r="K74" s="73">
        <f>'LABOR SHEET'!C$3</f>
        <v>46.5</v>
      </c>
      <c r="L74" s="74">
        <f t="shared" si="63"/>
        <v>62.775000000000006</v>
      </c>
      <c r="M74" s="74">
        <f t="shared" si="64"/>
        <v>125.55000000000001</v>
      </c>
      <c r="N74" s="74">
        <v>280</v>
      </c>
      <c r="O74" s="74">
        <f t="shared" si="65"/>
        <v>560</v>
      </c>
      <c r="P74" s="74">
        <f t="shared" si="66"/>
        <v>342.77499999999998</v>
      </c>
      <c r="Q74" s="58">
        <f t="shared" si="67"/>
        <v>685.55</v>
      </c>
      <c r="R74" s="106"/>
      <c r="S74" s="106"/>
      <c r="T74" s="106"/>
      <c r="U74" s="106"/>
      <c r="V74" s="106"/>
      <c r="W74" s="106"/>
      <c r="X74" s="106"/>
      <c r="Y74" s="106"/>
      <c r="Z74" s="106"/>
      <c r="AA74" s="106"/>
      <c r="AB74" s="106"/>
      <c r="AC74" s="106"/>
      <c r="AD74" s="106"/>
      <c r="AE74" s="106"/>
      <c r="AF74" s="106"/>
      <c r="AG74" s="106"/>
      <c r="AH74" s="106"/>
      <c r="AI74" s="106"/>
      <c r="AJ74" s="106"/>
    </row>
    <row r="75" spans="1:36" s="99" customFormat="1" ht="62.4">
      <c r="A75" s="77">
        <f>IF(F75&lt;&gt;"",1+MAX($A$2:A74),"")</f>
        <v>57</v>
      </c>
      <c r="B75" s="56"/>
      <c r="C75" s="107"/>
      <c r="D75" s="57" t="s">
        <v>92</v>
      </c>
      <c r="E75" s="81">
        <v>1</v>
      </c>
      <c r="F75" s="108">
        <v>0</v>
      </c>
      <c r="G75" s="109">
        <f t="shared" si="68"/>
        <v>1</v>
      </c>
      <c r="H75" s="79" t="s">
        <v>43</v>
      </c>
      <c r="I75" s="71">
        <v>1.25</v>
      </c>
      <c r="J75" s="72">
        <f t="shared" si="62"/>
        <v>1.25</v>
      </c>
      <c r="K75" s="73">
        <f>'LABOR SHEET'!C$3</f>
        <v>46.5</v>
      </c>
      <c r="L75" s="74">
        <f t="shared" si="63"/>
        <v>58.125</v>
      </c>
      <c r="M75" s="74">
        <f t="shared" si="64"/>
        <v>58.125</v>
      </c>
      <c r="N75" s="74">
        <v>270</v>
      </c>
      <c r="O75" s="74">
        <f t="shared" si="65"/>
        <v>270</v>
      </c>
      <c r="P75" s="74">
        <f t="shared" si="66"/>
        <v>328.125</v>
      </c>
      <c r="Q75" s="58">
        <f t="shared" si="67"/>
        <v>328.125</v>
      </c>
      <c r="R75" s="106"/>
      <c r="S75" s="106"/>
      <c r="T75" s="106"/>
      <c r="U75" s="106"/>
      <c r="V75" s="106"/>
      <c r="W75" s="106"/>
      <c r="X75" s="106"/>
      <c r="Y75" s="106"/>
      <c r="Z75" s="106"/>
      <c r="AA75" s="106"/>
      <c r="AB75" s="106"/>
      <c r="AC75" s="106"/>
      <c r="AD75" s="106"/>
      <c r="AE75" s="106"/>
      <c r="AF75" s="106"/>
      <c r="AG75" s="106"/>
      <c r="AH75" s="106"/>
      <c r="AI75" s="106"/>
      <c r="AJ75" s="106"/>
    </row>
    <row r="76" spans="1:36" s="99" customFormat="1" ht="62.4">
      <c r="A76" s="65">
        <f>IF(F76&lt;&gt;"",1+MAX($A$2:A75),"")</f>
        <v>58</v>
      </c>
      <c r="B76" s="56"/>
      <c r="C76" s="107"/>
      <c r="D76" s="57" t="s">
        <v>93</v>
      </c>
      <c r="E76" s="81">
        <v>1</v>
      </c>
      <c r="F76" s="108">
        <v>0</v>
      </c>
      <c r="G76" s="109">
        <f t="shared" si="68"/>
        <v>1</v>
      </c>
      <c r="H76" s="79" t="s">
        <v>43</v>
      </c>
      <c r="I76" s="71">
        <v>1.45</v>
      </c>
      <c r="J76" s="72">
        <f t="shared" si="62"/>
        <v>1.45</v>
      </c>
      <c r="K76" s="73">
        <f>'LABOR SHEET'!C$3</f>
        <v>46.5</v>
      </c>
      <c r="L76" s="74">
        <f t="shared" si="63"/>
        <v>67.424999999999997</v>
      </c>
      <c r="M76" s="74">
        <f t="shared" si="64"/>
        <v>67.424999999999997</v>
      </c>
      <c r="N76" s="74">
        <v>290</v>
      </c>
      <c r="O76" s="74">
        <f t="shared" si="65"/>
        <v>290</v>
      </c>
      <c r="P76" s="74">
        <f t="shared" si="66"/>
        <v>357.42500000000001</v>
      </c>
      <c r="Q76" s="58">
        <f t="shared" si="67"/>
        <v>357.42500000000001</v>
      </c>
      <c r="R76" s="106"/>
      <c r="S76" s="106"/>
      <c r="T76" s="106"/>
      <c r="U76" s="106"/>
      <c r="V76" s="106"/>
      <c r="W76" s="106"/>
      <c r="X76" s="106"/>
      <c r="Y76" s="106"/>
      <c r="Z76" s="106"/>
      <c r="AA76" s="106"/>
      <c r="AB76" s="106"/>
      <c r="AC76" s="106"/>
      <c r="AD76" s="106"/>
      <c r="AE76" s="106"/>
      <c r="AF76" s="106"/>
      <c r="AG76" s="106"/>
      <c r="AH76" s="106"/>
      <c r="AI76" s="106"/>
      <c r="AJ76" s="106"/>
    </row>
    <row r="77" spans="1:36" s="99" customFormat="1" ht="62.4">
      <c r="A77" s="77">
        <f>IF(F77&lt;&gt;"",1+MAX($A$2:A76),"")</f>
        <v>59</v>
      </c>
      <c r="B77" s="56"/>
      <c r="C77" s="107"/>
      <c r="D77" s="57" t="s">
        <v>94</v>
      </c>
      <c r="E77" s="81">
        <v>3</v>
      </c>
      <c r="F77" s="108">
        <v>0</v>
      </c>
      <c r="G77" s="109">
        <f t="shared" si="68"/>
        <v>3</v>
      </c>
      <c r="H77" s="79" t="s">
        <v>43</v>
      </c>
      <c r="I77" s="71">
        <v>1.6</v>
      </c>
      <c r="J77" s="72">
        <f t="shared" si="62"/>
        <v>4.8000000000000007</v>
      </c>
      <c r="K77" s="73">
        <f>'LABOR SHEET'!C$3</f>
        <v>46.5</v>
      </c>
      <c r="L77" s="74">
        <f t="shared" si="63"/>
        <v>74.400000000000006</v>
      </c>
      <c r="M77" s="74">
        <f t="shared" si="64"/>
        <v>223.20000000000005</v>
      </c>
      <c r="N77" s="74">
        <v>310</v>
      </c>
      <c r="O77" s="74">
        <f t="shared" si="65"/>
        <v>930</v>
      </c>
      <c r="P77" s="74">
        <f t="shared" si="66"/>
        <v>384.4</v>
      </c>
      <c r="Q77" s="58">
        <f t="shared" si="67"/>
        <v>1153.1999999999998</v>
      </c>
      <c r="R77" s="106"/>
      <c r="S77" s="106"/>
      <c r="T77" s="106"/>
      <c r="U77" s="106"/>
      <c r="V77" s="106"/>
      <c r="W77" s="106"/>
      <c r="X77" s="106"/>
      <c r="Y77" s="106"/>
      <c r="Z77" s="106"/>
      <c r="AA77" s="106"/>
      <c r="AB77" s="106"/>
      <c r="AC77" s="106"/>
      <c r="AD77" s="106"/>
      <c r="AE77" s="106"/>
      <c r="AF77" s="106"/>
      <c r="AG77" s="106"/>
      <c r="AH77" s="106"/>
      <c r="AI77" s="106"/>
      <c r="AJ77" s="106"/>
    </row>
    <row r="78" spans="1:36" s="99" customFormat="1" ht="93.6">
      <c r="A78" s="65">
        <f>IF(F78&lt;&gt;"",1+MAX($A$2:A77),"")</f>
        <v>60</v>
      </c>
      <c r="B78" s="56"/>
      <c r="C78" s="107"/>
      <c r="D78" s="57" t="s">
        <v>95</v>
      </c>
      <c r="E78" s="81">
        <v>1</v>
      </c>
      <c r="F78" s="108">
        <v>0</v>
      </c>
      <c r="G78" s="109">
        <f t="shared" si="68"/>
        <v>1</v>
      </c>
      <c r="H78" s="79" t="s">
        <v>43</v>
      </c>
      <c r="I78" s="71">
        <v>1.7</v>
      </c>
      <c r="J78" s="72">
        <f t="shared" si="62"/>
        <v>1.7</v>
      </c>
      <c r="K78" s="73">
        <f>'LABOR SHEET'!C$3</f>
        <v>46.5</v>
      </c>
      <c r="L78" s="74">
        <f t="shared" si="63"/>
        <v>79.05</v>
      </c>
      <c r="M78" s="74">
        <f t="shared" si="64"/>
        <v>79.05</v>
      </c>
      <c r="N78" s="74">
        <v>260</v>
      </c>
      <c r="O78" s="74">
        <f t="shared" si="65"/>
        <v>260</v>
      </c>
      <c r="P78" s="74">
        <f t="shared" si="66"/>
        <v>339.05</v>
      </c>
      <c r="Q78" s="58">
        <f t="shared" si="67"/>
        <v>339.05</v>
      </c>
      <c r="R78" s="106"/>
      <c r="S78" s="106"/>
      <c r="T78" s="106"/>
      <c r="U78" s="106"/>
      <c r="V78" s="106"/>
      <c r="W78" s="106"/>
      <c r="X78" s="106"/>
      <c r="Y78" s="106"/>
      <c r="Z78" s="106"/>
      <c r="AA78" s="106"/>
      <c r="AB78" s="106"/>
      <c r="AC78" s="106"/>
      <c r="AD78" s="106"/>
      <c r="AE78" s="106"/>
      <c r="AF78" s="106"/>
      <c r="AG78" s="106"/>
      <c r="AH78" s="106"/>
      <c r="AI78" s="106"/>
      <c r="AJ78" s="106"/>
    </row>
    <row r="79" spans="1:36" s="99" customFormat="1" ht="93.6">
      <c r="A79" s="77">
        <f>IF(F79&lt;&gt;"",1+MAX($A$2:A78),"")</f>
        <v>61</v>
      </c>
      <c r="B79" s="56"/>
      <c r="C79" s="107"/>
      <c r="D79" s="57" t="s">
        <v>371</v>
      </c>
      <c r="E79" s="81">
        <v>1</v>
      </c>
      <c r="F79" s="108">
        <v>0</v>
      </c>
      <c r="G79" s="109">
        <f t="shared" si="68"/>
        <v>1</v>
      </c>
      <c r="H79" s="79" t="s">
        <v>43</v>
      </c>
      <c r="I79" s="71">
        <v>1.75</v>
      </c>
      <c r="J79" s="72">
        <f t="shared" si="62"/>
        <v>1.75</v>
      </c>
      <c r="K79" s="73">
        <f>'LABOR SHEET'!C$3</f>
        <v>46.5</v>
      </c>
      <c r="L79" s="74">
        <f t="shared" si="63"/>
        <v>81.375</v>
      </c>
      <c r="M79" s="74">
        <f t="shared" si="64"/>
        <v>81.375</v>
      </c>
      <c r="N79" s="74">
        <v>310</v>
      </c>
      <c r="O79" s="74">
        <f t="shared" si="65"/>
        <v>310</v>
      </c>
      <c r="P79" s="74">
        <f t="shared" si="66"/>
        <v>391.375</v>
      </c>
      <c r="Q79" s="58">
        <f t="shared" si="67"/>
        <v>391.375</v>
      </c>
      <c r="R79" s="106"/>
      <c r="S79" s="106"/>
      <c r="T79" s="106"/>
      <c r="U79" s="106"/>
      <c r="V79" s="106"/>
      <c r="W79" s="106"/>
      <c r="X79" s="106"/>
      <c r="Y79" s="106"/>
      <c r="Z79" s="106"/>
      <c r="AA79" s="106"/>
      <c r="AB79" s="106"/>
      <c r="AC79" s="106"/>
      <c r="AD79" s="106"/>
      <c r="AE79" s="106"/>
      <c r="AF79" s="106"/>
      <c r="AG79" s="106"/>
      <c r="AH79" s="106"/>
      <c r="AI79" s="106"/>
      <c r="AJ79" s="106"/>
    </row>
    <row r="80" spans="1:36" s="99" customFormat="1">
      <c r="A80" s="65">
        <f>IF(F80&lt;&gt;"",1+MAX($A$2:A79),"")</f>
        <v>62</v>
      </c>
      <c r="B80" s="56"/>
      <c r="C80" s="107"/>
      <c r="D80" s="57" t="s">
        <v>96</v>
      </c>
      <c r="E80" s="81">
        <v>1</v>
      </c>
      <c r="F80" s="108">
        <v>0</v>
      </c>
      <c r="G80" s="109">
        <f t="shared" si="68"/>
        <v>1</v>
      </c>
      <c r="H80" s="79" t="s">
        <v>43</v>
      </c>
      <c r="I80" s="71">
        <v>1.1000000000000001</v>
      </c>
      <c r="J80" s="72">
        <f t="shared" si="62"/>
        <v>1.1000000000000001</v>
      </c>
      <c r="K80" s="73">
        <f>'LABOR SHEET'!C$3</f>
        <v>46.5</v>
      </c>
      <c r="L80" s="74">
        <f t="shared" si="63"/>
        <v>51.150000000000006</v>
      </c>
      <c r="M80" s="74">
        <f t="shared" si="64"/>
        <v>51.150000000000006</v>
      </c>
      <c r="N80" s="74">
        <v>110</v>
      </c>
      <c r="O80" s="74">
        <f t="shared" si="65"/>
        <v>110</v>
      </c>
      <c r="P80" s="74">
        <f t="shared" si="66"/>
        <v>161.15</v>
      </c>
      <c r="Q80" s="58">
        <f t="shared" si="67"/>
        <v>161.15</v>
      </c>
      <c r="R80" s="106"/>
      <c r="S80" s="106"/>
      <c r="T80" s="106"/>
      <c r="U80" s="106"/>
      <c r="V80" s="106"/>
      <c r="W80" s="106"/>
      <c r="X80" s="106"/>
      <c r="Y80" s="106"/>
      <c r="Z80" s="106"/>
      <c r="AA80" s="106"/>
      <c r="AB80" s="106"/>
      <c r="AC80" s="106"/>
      <c r="AD80" s="106"/>
      <c r="AE80" s="106"/>
      <c r="AF80" s="106"/>
      <c r="AG80" s="106"/>
      <c r="AH80" s="106"/>
      <c r="AI80" s="106"/>
      <c r="AJ80" s="106"/>
    </row>
    <row r="81" spans="1:36" s="99" customFormat="1">
      <c r="A81" s="77" t="str">
        <f>IF(F81&lt;&gt;"",1+MAX($A$2:A80),"")</f>
        <v/>
      </c>
      <c r="B81" s="56"/>
      <c r="C81" s="107"/>
      <c r="D81" s="57"/>
      <c r="E81" s="81"/>
      <c r="F81" s="108"/>
      <c r="G81" s="109"/>
      <c r="H81" s="79"/>
      <c r="I81" s="71"/>
      <c r="J81" s="72"/>
      <c r="K81" s="73"/>
      <c r="L81" s="74"/>
      <c r="M81" s="74"/>
      <c r="N81" s="74"/>
      <c r="O81" s="74"/>
      <c r="P81" s="74"/>
      <c r="Q81" s="58"/>
      <c r="R81" s="106"/>
      <c r="S81" s="106"/>
      <c r="T81" s="106"/>
      <c r="U81" s="106"/>
      <c r="V81" s="106"/>
      <c r="W81" s="106"/>
      <c r="X81" s="106"/>
      <c r="Y81" s="106"/>
      <c r="Z81" s="106"/>
      <c r="AA81" s="106"/>
      <c r="AB81" s="106"/>
      <c r="AC81" s="106"/>
      <c r="AD81" s="106"/>
      <c r="AE81" s="106"/>
      <c r="AF81" s="106"/>
      <c r="AG81" s="106"/>
      <c r="AH81" s="106"/>
      <c r="AI81" s="106"/>
      <c r="AJ81" s="106"/>
    </row>
    <row r="82" spans="1:36" s="99" customFormat="1">
      <c r="A82" s="65" t="str">
        <f>IF(F82&lt;&gt;"",1+MAX($A$2:A81),"")</f>
        <v/>
      </c>
      <c r="B82" s="55"/>
      <c r="C82" s="81"/>
      <c r="D82" s="101" t="s">
        <v>97</v>
      </c>
      <c r="E82" s="79"/>
      <c r="F82" s="79"/>
      <c r="G82" s="79"/>
      <c r="H82" s="79"/>
      <c r="I82" s="102"/>
      <c r="J82" s="103"/>
      <c r="K82" s="104"/>
      <c r="L82" s="74"/>
      <c r="M82" s="74"/>
      <c r="N82" s="74"/>
      <c r="O82" s="74"/>
      <c r="P82" s="74"/>
      <c r="Q82" s="105"/>
      <c r="R82" s="106"/>
      <c r="S82" s="106"/>
      <c r="T82" s="106"/>
      <c r="U82" s="106"/>
      <c r="V82" s="106"/>
      <c r="W82" s="106"/>
      <c r="X82" s="106"/>
      <c r="Y82" s="106"/>
      <c r="Z82" s="106"/>
      <c r="AA82" s="106"/>
      <c r="AB82" s="106"/>
      <c r="AC82" s="106"/>
      <c r="AD82" s="106"/>
      <c r="AE82" s="106"/>
      <c r="AF82" s="106"/>
      <c r="AG82" s="106"/>
      <c r="AH82" s="106"/>
      <c r="AI82" s="106"/>
      <c r="AJ82" s="106"/>
    </row>
    <row r="83" spans="1:36" s="99" customFormat="1">
      <c r="A83" s="77">
        <f>IF(F83&lt;&gt;"",1+MAX($A$2:A82),"")</f>
        <v>63</v>
      </c>
      <c r="B83" s="56"/>
      <c r="C83" s="107"/>
      <c r="D83" s="57" t="s">
        <v>98</v>
      </c>
      <c r="E83" s="81">
        <v>50</v>
      </c>
      <c r="F83" s="108">
        <v>0</v>
      </c>
      <c r="G83" s="109">
        <f t="shared" ref="G83:G88" si="69">E83*(1+F83)</f>
        <v>50</v>
      </c>
      <c r="H83" s="79" t="s">
        <v>99</v>
      </c>
      <c r="I83" s="71">
        <f>0.1</f>
        <v>0.1</v>
      </c>
      <c r="J83" s="72">
        <f t="shared" ref="J83:J88" si="70">+I83*G83</f>
        <v>5</v>
      </c>
      <c r="K83" s="73">
        <f>'LABOR SHEET'!C$3</f>
        <v>46.5</v>
      </c>
      <c r="L83" s="74">
        <f t="shared" ref="L83:L88" si="71">I83*K83</f>
        <v>4.6500000000000004</v>
      </c>
      <c r="M83" s="74">
        <f t="shared" ref="M83:M88" si="72">K83*J83</f>
        <v>232.5</v>
      </c>
      <c r="N83" s="74">
        <f>239.99/10</f>
        <v>23.999000000000002</v>
      </c>
      <c r="O83" s="74">
        <f t="shared" ref="O83:O88" si="73">N83*G83</f>
        <v>1199.95</v>
      </c>
      <c r="P83" s="74">
        <f t="shared" ref="P83:P88" si="74">(I83*K83)+N83</f>
        <v>28.649000000000001</v>
      </c>
      <c r="Q83" s="58">
        <f t="shared" ref="Q83:Q88" si="75">P83*G83</f>
        <v>1432.45</v>
      </c>
      <c r="R83" s="106"/>
      <c r="S83" s="106"/>
      <c r="T83" s="106"/>
      <c r="U83" s="106"/>
      <c r="V83" s="106"/>
      <c r="W83" s="106"/>
      <c r="X83" s="106"/>
      <c r="Y83" s="106"/>
      <c r="Z83" s="106"/>
      <c r="AA83" s="106"/>
      <c r="AB83" s="106"/>
      <c r="AC83" s="106"/>
      <c r="AD83" s="106"/>
      <c r="AE83" s="106"/>
      <c r="AF83" s="106"/>
      <c r="AG83" s="106"/>
      <c r="AH83" s="106"/>
      <c r="AI83" s="106"/>
      <c r="AJ83" s="106"/>
    </row>
    <row r="84" spans="1:36" s="99" customFormat="1">
      <c r="A84" s="65">
        <f>IF(F84&lt;&gt;"",1+MAX($A$2:A83),"")</f>
        <v>64</v>
      </c>
      <c r="B84" s="56"/>
      <c r="C84" s="107"/>
      <c r="D84" s="57" t="s">
        <v>100</v>
      </c>
      <c r="E84" s="81">
        <v>1</v>
      </c>
      <c r="F84" s="108">
        <v>0</v>
      </c>
      <c r="G84" s="109">
        <f t="shared" si="69"/>
        <v>1</v>
      </c>
      <c r="H84" s="79" t="s">
        <v>43</v>
      </c>
      <c r="I84" s="71">
        <v>1.1000000000000001</v>
      </c>
      <c r="J84" s="72">
        <f t="shared" si="70"/>
        <v>1.1000000000000001</v>
      </c>
      <c r="K84" s="73">
        <f>'LABOR SHEET'!C$3</f>
        <v>46.5</v>
      </c>
      <c r="L84" s="74">
        <f t="shared" si="71"/>
        <v>51.150000000000006</v>
      </c>
      <c r="M84" s="74">
        <f t="shared" si="72"/>
        <v>51.150000000000006</v>
      </c>
      <c r="N84" s="74">
        <v>225</v>
      </c>
      <c r="O84" s="74">
        <f t="shared" si="73"/>
        <v>225</v>
      </c>
      <c r="P84" s="74">
        <f t="shared" si="74"/>
        <v>276.14999999999998</v>
      </c>
      <c r="Q84" s="58">
        <f t="shared" si="75"/>
        <v>276.14999999999998</v>
      </c>
      <c r="R84" s="106"/>
      <c r="S84" s="106"/>
      <c r="T84" s="106"/>
      <c r="U84" s="106"/>
      <c r="V84" s="106"/>
      <c r="W84" s="106"/>
      <c r="X84" s="106"/>
      <c r="Y84" s="106"/>
      <c r="Z84" s="106"/>
      <c r="AA84" s="106"/>
      <c r="AB84" s="106"/>
      <c r="AC84" s="106"/>
      <c r="AD84" s="106"/>
      <c r="AE84" s="106"/>
      <c r="AF84" s="106"/>
      <c r="AG84" s="106"/>
      <c r="AH84" s="106"/>
      <c r="AI84" s="106"/>
      <c r="AJ84" s="106"/>
    </row>
    <row r="85" spans="1:36" s="99" customFormat="1">
      <c r="A85" s="77">
        <f>IF(F85&lt;&gt;"",1+MAX($A$2:A84),"")</f>
        <v>65</v>
      </c>
      <c r="B85" s="56"/>
      <c r="C85" s="107"/>
      <c r="D85" s="57" t="s">
        <v>101</v>
      </c>
      <c r="E85" s="81">
        <v>2</v>
      </c>
      <c r="F85" s="108">
        <v>0</v>
      </c>
      <c r="G85" s="109">
        <f t="shared" si="69"/>
        <v>2</v>
      </c>
      <c r="H85" s="79" t="s">
        <v>43</v>
      </c>
      <c r="I85" s="71">
        <v>1.4</v>
      </c>
      <c r="J85" s="72">
        <f t="shared" si="70"/>
        <v>2.8</v>
      </c>
      <c r="K85" s="73">
        <f>'LABOR SHEET'!C$3</f>
        <v>46.5</v>
      </c>
      <c r="L85" s="74">
        <f t="shared" si="71"/>
        <v>65.099999999999994</v>
      </c>
      <c r="M85" s="74">
        <f t="shared" si="72"/>
        <v>130.19999999999999</v>
      </c>
      <c r="N85" s="74">
        <v>310</v>
      </c>
      <c r="O85" s="74">
        <f t="shared" si="73"/>
        <v>620</v>
      </c>
      <c r="P85" s="74">
        <f t="shared" si="74"/>
        <v>375.1</v>
      </c>
      <c r="Q85" s="58">
        <f t="shared" si="75"/>
        <v>750.2</v>
      </c>
      <c r="R85" s="106"/>
      <c r="S85" s="106"/>
      <c r="T85" s="106"/>
      <c r="U85" s="106"/>
      <c r="V85" s="106"/>
      <c r="W85" s="106"/>
      <c r="X85" s="106"/>
      <c r="Y85" s="106"/>
      <c r="Z85" s="106"/>
      <c r="AA85" s="106"/>
      <c r="AB85" s="106"/>
      <c r="AC85" s="106"/>
      <c r="AD85" s="106"/>
      <c r="AE85" s="106"/>
      <c r="AF85" s="106"/>
      <c r="AG85" s="106"/>
      <c r="AH85" s="106"/>
      <c r="AI85" s="106"/>
      <c r="AJ85" s="106"/>
    </row>
    <row r="86" spans="1:36" s="99" customFormat="1" ht="46.8">
      <c r="A86" s="65">
        <f>IF(F86&lt;&gt;"",1+MAX($A$2:A85),"")</f>
        <v>66</v>
      </c>
      <c r="B86" s="56"/>
      <c r="C86" s="107"/>
      <c r="D86" s="57" t="s">
        <v>102</v>
      </c>
      <c r="E86" s="81">
        <v>6</v>
      </c>
      <c r="F86" s="108">
        <v>0</v>
      </c>
      <c r="G86" s="109">
        <f t="shared" si="69"/>
        <v>6</v>
      </c>
      <c r="H86" s="79" t="s">
        <v>43</v>
      </c>
      <c r="I86" s="71">
        <v>1.1000000000000001</v>
      </c>
      <c r="J86" s="72">
        <f t="shared" si="70"/>
        <v>6.6000000000000005</v>
      </c>
      <c r="K86" s="73">
        <f>'LABOR SHEET'!C$3</f>
        <v>46.5</v>
      </c>
      <c r="L86" s="74">
        <f t="shared" si="71"/>
        <v>51.150000000000006</v>
      </c>
      <c r="M86" s="74">
        <f t="shared" si="72"/>
        <v>306.90000000000003</v>
      </c>
      <c r="N86" s="74">
        <v>290</v>
      </c>
      <c r="O86" s="74">
        <f t="shared" si="73"/>
        <v>1740</v>
      </c>
      <c r="P86" s="74">
        <f t="shared" si="74"/>
        <v>341.15</v>
      </c>
      <c r="Q86" s="58">
        <f t="shared" si="75"/>
        <v>2046.8999999999999</v>
      </c>
      <c r="R86" s="106"/>
      <c r="S86" s="106"/>
      <c r="T86" s="106"/>
      <c r="U86" s="106"/>
      <c r="V86" s="106"/>
      <c r="W86" s="106"/>
      <c r="X86" s="106"/>
      <c r="Y86" s="106"/>
      <c r="Z86" s="106"/>
      <c r="AA86" s="106"/>
      <c r="AB86" s="106"/>
      <c r="AC86" s="106"/>
      <c r="AD86" s="106"/>
      <c r="AE86" s="106"/>
      <c r="AF86" s="106"/>
      <c r="AG86" s="106"/>
      <c r="AH86" s="106"/>
      <c r="AI86" s="106"/>
      <c r="AJ86" s="106"/>
    </row>
    <row r="87" spans="1:36" s="99" customFormat="1">
      <c r="A87" s="77">
        <f>IF(F87&lt;&gt;"",1+MAX($A$2:A86),"")</f>
        <v>67</v>
      </c>
      <c r="B87" s="56"/>
      <c r="C87" s="107"/>
      <c r="D87" s="57" t="s">
        <v>103</v>
      </c>
      <c r="E87" s="81">
        <v>4</v>
      </c>
      <c r="F87" s="108">
        <v>0</v>
      </c>
      <c r="G87" s="109">
        <f t="shared" si="69"/>
        <v>4</v>
      </c>
      <c r="H87" s="79" t="s">
        <v>43</v>
      </c>
      <c r="I87" s="71">
        <v>1.2849999999999999</v>
      </c>
      <c r="J87" s="72">
        <f t="shared" si="70"/>
        <v>5.14</v>
      </c>
      <c r="K87" s="73">
        <f>'LABOR SHEET'!C$3</f>
        <v>46.5</v>
      </c>
      <c r="L87" s="74">
        <f t="shared" si="71"/>
        <v>59.752499999999998</v>
      </c>
      <c r="M87" s="74">
        <f t="shared" si="72"/>
        <v>239.01</v>
      </c>
      <c r="N87" s="74">
        <v>225</v>
      </c>
      <c r="O87" s="74">
        <f t="shared" si="73"/>
        <v>900</v>
      </c>
      <c r="P87" s="74">
        <f t="shared" si="74"/>
        <v>284.7525</v>
      </c>
      <c r="Q87" s="58">
        <f t="shared" si="75"/>
        <v>1139.01</v>
      </c>
      <c r="R87" s="106"/>
      <c r="S87" s="106"/>
      <c r="T87" s="106"/>
      <c r="U87" s="106"/>
      <c r="V87" s="106"/>
      <c r="W87" s="106"/>
      <c r="X87" s="106"/>
      <c r="Y87" s="106"/>
      <c r="Z87" s="106"/>
      <c r="AA87" s="106"/>
      <c r="AB87" s="106"/>
      <c r="AC87" s="106"/>
      <c r="AD87" s="106"/>
      <c r="AE87" s="106"/>
      <c r="AF87" s="106"/>
      <c r="AG87" s="106"/>
      <c r="AH87" s="106"/>
      <c r="AI87" s="106"/>
      <c r="AJ87" s="106"/>
    </row>
    <row r="88" spans="1:36" s="99" customFormat="1">
      <c r="A88" s="65">
        <f>IF(F88&lt;&gt;"",1+MAX($A$2:A87),"")</f>
        <v>68</v>
      </c>
      <c r="B88" s="56"/>
      <c r="C88" s="107"/>
      <c r="D88" s="57" t="s">
        <v>104</v>
      </c>
      <c r="E88" s="81">
        <v>70</v>
      </c>
      <c r="F88" s="108">
        <v>0</v>
      </c>
      <c r="G88" s="109">
        <f t="shared" si="69"/>
        <v>70</v>
      </c>
      <c r="H88" s="79" t="s">
        <v>99</v>
      </c>
      <c r="I88" s="71">
        <v>1.2E-2</v>
      </c>
      <c r="J88" s="72">
        <f t="shared" si="70"/>
        <v>0.84</v>
      </c>
      <c r="K88" s="73">
        <f>'LABOR SHEET'!C$3</f>
        <v>46.5</v>
      </c>
      <c r="L88" s="74">
        <f t="shared" si="71"/>
        <v>0.55800000000000005</v>
      </c>
      <c r="M88" s="74">
        <f t="shared" si="72"/>
        <v>39.059999999999995</v>
      </c>
      <c r="N88" s="74">
        <f>141.36/100</f>
        <v>1.4136000000000002</v>
      </c>
      <c r="O88" s="74">
        <f t="shared" si="73"/>
        <v>98.952000000000012</v>
      </c>
      <c r="P88" s="74">
        <f t="shared" si="74"/>
        <v>1.9716000000000002</v>
      </c>
      <c r="Q88" s="58">
        <f t="shared" si="75"/>
        <v>138.01200000000003</v>
      </c>
      <c r="R88" s="106"/>
      <c r="S88" s="106"/>
      <c r="T88" s="106"/>
      <c r="U88" s="106"/>
      <c r="V88" s="106"/>
      <c r="W88" s="106"/>
      <c r="X88" s="106"/>
      <c r="Y88" s="106"/>
      <c r="Z88" s="106"/>
      <c r="AA88" s="106"/>
      <c r="AB88" s="106"/>
      <c r="AC88" s="106"/>
      <c r="AD88" s="106"/>
      <c r="AE88" s="106"/>
      <c r="AF88" s="106"/>
      <c r="AG88" s="106"/>
      <c r="AH88" s="106"/>
      <c r="AI88" s="106"/>
      <c r="AJ88" s="106"/>
    </row>
    <row r="89" spans="1:36" s="99" customFormat="1">
      <c r="A89" s="77" t="str">
        <f>IF(F89&lt;&gt;"",1+MAX($A$2:A88),"")</f>
        <v/>
      </c>
      <c r="B89" s="56"/>
      <c r="C89" s="107"/>
      <c r="D89" s="57"/>
      <c r="E89" s="81"/>
      <c r="F89" s="108"/>
      <c r="G89" s="109"/>
      <c r="H89" s="79"/>
      <c r="I89" s="71"/>
      <c r="J89" s="72"/>
      <c r="K89" s="73"/>
      <c r="L89" s="74"/>
      <c r="M89" s="74"/>
      <c r="N89" s="74"/>
      <c r="O89" s="74"/>
      <c r="P89" s="74"/>
      <c r="Q89" s="58"/>
      <c r="R89" s="106"/>
      <c r="S89" s="106"/>
      <c r="T89" s="106"/>
      <c r="U89" s="106"/>
      <c r="V89" s="106"/>
      <c r="W89" s="106"/>
      <c r="X89" s="106"/>
      <c r="Y89" s="106"/>
      <c r="Z89" s="106"/>
      <c r="AA89" s="106"/>
      <c r="AB89" s="106"/>
      <c r="AC89" s="106"/>
      <c r="AD89" s="106"/>
      <c r="AE89" s="106"/>
      <c r="AF89" s="106"/>
      <c r="AG89" s="106"/>
      <c r="AH89" s="106"/>
      <c r="AI89" s="106"/>
      <c r="AJ89" s="106"/>
    </row>
    <row r="90" spans="1:36" s="99" customFormat="1">
      <c r="A90" s="65" t="str">
        <f>IF(F90&lt;&gt;"",1+MAX($A$2:A89),"")</f>
        <v/>
      </c>
      <c r="B90" s="55"/>
      <c r="C90" s="81"/>
      <c r="D90" s="101" t="s">
        <v>105</v>
      </c>
      <c r="E90" s="79"/>
      <c r="F90" s="79"/>
      <c r="G90" s="79"/>
      <c r="H90" s="79"/>
      <c r="I90" s="102"/>
      <c r="J90" s="103"/>
      <c r="K90" s="104"/>
      <c r="L90" s="74"/>
      <c r="M90" s="74"/>
      <c r="N90" s="74"/>
      <c r="O90" s="74"/>
      <c r="P90" s="74"/>
      <c r="Q90" s="105"/>
      <c r="R90" s="106"/>
      <c r="S90" s="106"/>
      <c r="T90" s="106"/>
      <c r="U90" s="106"/>
      <c r="V90" s="106"/>
      <c r="W90" s="106"/>
      <c r="X90" s="106"/>
      <c r="Y90" s="106"/>
      <c r="Z90" s="106"/>
      <c r="AA90" s="106"/>
      <c r="AB90" s="106"/>
      <c r="AC90" s="106"/>
      <c r="AD90" s="106"/>
      <c r="AE90" s="106"/>
      <c r="AF90" s="106"/>
      <c r="AG90" s="106"/>
      <c r="AH90" s="106"/>
      <c r="AI90" s="106"/>
      <c r="AJ90" s="106"/>
    </row>
    <row r="91" spans="1:36" s="99" customFormat="1" ht="31.2">
      <c r="A91" s="77" t="str">
        <f>IF(F91&lt;&gt;"",1+MAX($A$2:A90),"")</f>
        <v/>
      </c>
      <c r="B91" s="56"/>
      <c r="C91" s="107"/>
      <c r="D91" s="59" t="s">
        <v>106</v>
      </c>
      <c r="E91" s="81"/>
      <c r="F91" s="108"/>
      <c r="G91" s="109"/>
      <c r="H91" s="79"/>
      <c r="I91" s="71"/>
      <c r="J91" s="72"/>
      <c r="K91" s="73"/>
      <c r="L91" s="74"/>
      <c r="M91" s="74"/>
      <c r="N91" s="74"/>
      <c r="O91" s="74"/>
      <c r="P91" s="74"/>
      <c r="Q91" s="58"/>
      <c r="R91" s="106"/>
      <c r="S91" s="106"/>
      <c r="T91" s="106"/>
      <c r="U91" s="106"/>
      <c r="V91" s="106"/>
      <c r="W91" s="106"/>
      <c r="X91" s="106"/>
      <c r="Y91" s="106"/>
      <c r="Z91" s="106"/>
      <c r="AA91" s="106"/>
      <c r="AB91" s="106"/>
      <c r="AC91" s="106"/>
      <c r="AD91" s="106"/>
      <c r="AE91" s="106"/>
      <c r="AF91" s="106"/>
      <c r="AG91" s="106"/>
      <c r="AH91" s="106"/>
      <c r="AI91" s="106"/>
      <c r="AJ91" s="106"/>
    </row>
    <row r="92" spans="1:36" s="99" customFormat="1">
      <c r="A92" s="65">
        <f>IF(F92&lt;&gt;"",1+MAX($A$2:A91),"")</f>
        <v>69</v>
      </c>
      <c r="B92" s="56"/>
      <c r="C92" s="107"/>
      <c r="D92" s="57" t="s">
        <v>107</v>
      </c>
      <c r="E92" s="81">
        <v>29.92</v>
      </c>
      <c r="F92" s="108">
        <v>0.05</v>
      </c>
      <c r="G92" s="109">
        <f t="shared" ref="G92:G97" si="76">E92*(1+F92)</f>
        <v>31.416000000000004</v>
      </c>
      <c r="H92" s="79" t="s">
        <v>99</v>
      </c>
      <c r="I92" s="71">
        <v>0.214</v>
      </c>
      <c r="J92" s="72">
        <f t="shared" ref="J92:J97" si="77">+I92*G92</f>
        <v>6.7230240000000006</v>
      </c>
      <c r="K92" s="73">
        <f>'LABOR SHEET'!C$3</f>
        <v>46.5</v>
      </c>
      <c r="L92" s="74">
        <f t="shared" ref="L92:L97" si="78">I92*K92</f>
        <v>9.9510000000000005</v>
      </c>
      <c r="M92" s="74">
        <f t="shared" ref="M92:M97" si="79">K92*J92</f>
        <v>312.62061600000004</v>
      </c>
      <c r="N92" s="74">
        <v>3.1</v>
      </c>
      <c r="O92" s="74">
        <f t="shared" ref="O92:O97" si="80">N92*G92</f>
        <v>97.389600000000016</v>
      </c>
      <c r="P92" s="74">
        <f t="shared" ref="P92:P97" si="81">(I92*K92)+N92</f>
        <v>13.051</v>
      </c>
      <c r="Q92" s="58">
        <f t="shared" ref="Q92:Q97" si="82">P92*G92</f>
        <v>410.01021600000007</v>
      </c>
      <c r="R92" s="106"/>
      <c r="S92" s="106"/>
      <c r="T92" s="106"/>
      <c r="U92" s="106"/>
      <c r="V92" s="106"/>
      <c r="W92" s="106"/>
      <c r="X92" s="106"/>
      <c r="Y92" s="106"/>
      <c r="Z92" s="106"/>
      <c r="AA92" s="106"/>
      <c r="AB92" s="106"/>
      <c r="AC92" s="106"/>
      <c r="AD92" s="106"/>
      <c r="AE92" s="106"/>
      <c r="AF92" s="106"/>
      <c r="AG92" s="106"/>
      <c r="AH92" s="106"/>
      <c r="AI92" s="106"/>
      <c r="AJ92" s="106"/>
    </row>
    <row r="93" spans="1:36" s="99" customFormat="1">
      <c r="A93" s="77">
        <f>IF(F93&lt;&gt;"",1+MAX($A$2:A92),"")</f>
        <v>70</v>
      </c>
      <c r="B93" s="56"/>
      <c r="C93" s="107"/>
      <c r="D93" s="57" t="s">
        <v>108</v>
      </c>
      <c r="E93" s="81">
        <v>32.799999999999997</v>
      </c>
      <c r="F93" s="108">
        <v>0.05</v>
      </c>
      <c r="G93" s="109">
        <f t="shared" si="76"/>
        <v>34.44</v>
      </c>
      <c r="H93" s="79" t="s">
        <v>99</v>
      </c>
      <c r="I93" s="71">
        <f>(I92+I94)/2</f>
        <v>0.22649999999999998</v>
      </c>
      <c r="J93" s="72">
        <f t="shared" si="77"/>
        <v>7.8006599999999988</v>
      </c>
      <c r="K93" s="73">
        <f>'LABOR SHEET'!C$3</f>
        <v>46.5</v>
      </c>
      <c r="L93" s="74">
        <f t="shared" si="78"/>
        <v>10.532249999999999</v>
      </c>
      <c r="M93" s="74">
        <f t="shared" si="79"/>
        <v>362.73068999999992</v>
      </c>
      <c r="N93" s="74">
        <f>(N92+N94)/2</f>
        <v>3.25</v>
      </c>
      <c r="O93" s="74">
        <f t="shared" si="80"/>
        <v>111.92999999999999</v>
      </c>
      <c r="P93" s="74">
        <f t="shared" si="81"/>
        <v>13.782249999999999</v>
      </c>
      <c r="Q93" s="58">
        <f t="shared" si="82"/>
        <v>474.66068999999993</v>
      </c>
      <c r="R93" s="106"/>
      <c r="S93" s="106"/>
      <c r="T93" s="106"/>
      <c r="U93" s="106"/>
      <c r="V93" s="106"/>
      <c r="W93" s="106"/>
      <c r="X93" s="106"/>
      <c r="Y93" s="106"/>
      <c r="Z93" s="106"/>
      <c r="AA93" s="106"/>
      <c r="AB93" s="106"/>
      <c r="AC93" s="106"/>
      <c r="AD93" s="106"/>
      <c r="AE93" s="106"/>
      <c r="AF93" s="106"/>
      <c r="AG93" s="106"/>
      <c r="AH93" s="106"/>
      <c r="AI93" s="106"/>
      <c r="AJ93" s="106"/>
    </row>
    <row r="94" spans="1:36" s="99" customFormat="1">
      <c r="A94" s="65">
        <f>IF(F94&lt;&gt;"",1+MAX($A$2:A93),"")</f>
        <v>71</v>
      </c>
      <c r="B94" s="56"/>
      <c r="C94" s="107"/>
      <c r="D94" s="57" t="s">
        <v>109</v>
      </c>
      <c r="E94" s="81">
        <v>23.11</v>
      </c>
      <c r="F94" s="108">
        <v>0.05</v>
      </c>
      <c r="G94" s="109">
        <f t="shared" si="76"/>
        <v>24.265499999999999</v>
      </c>
      <c r="H94" s="79" t="s">
        <v>99</v>
      </c>
      <c r="I94" s="71">
        <v>0.23899999999999999</v>
      </c>
      <c r="J94" s="72">
        <f t="shared" si="77"/>
        <v>5.7994544999999995</v>
      </c>
      <c r="K94" s="73">
        <f>'LABOR SHEET'!C$3</f>
        <v>46.5</v>
      </c>
      <c r="L94" s="74">
        <f t="shared" si="78"/>
        <v>11.1135</v>
      </c>
      <c r="M94" s="74">
        <f t="shared" si="79"/>
        <v>269.67463425</v>
      </c>
      <c r="N94" s="74">
        <v>3.4</v>
      </c>
      <c r="O94" s="74">
        <f t="shared" si="80"/>
        <v>82.50269999999999</v>
      </c>
      <c r="P94" s="74">
        <f t="shared" si="81"/>
        <v>14.513500000000001</v>
      </c>
      <c r="Q94" s="58">
        <f t="shared" si="82"/>
        <v>352.17733425</v>
      </c>
      <c r="R94" s="106"/>
      <c r="S94" s="106"/>
      <c r="T94" s="106"/>
      <c r="U94" s="106"/>
      <c r="V94" s="106"/>
      <c r="W94" s="106"/>
      <c r="X94" s="106"/>
      <c r="Y94" s="106"/>
      <c r="Z94" s="106"/>
      <c r="AA94" s="106"/>
      <c r="AB94" s="106"/>
      <c r="AC94" s="106"/>
      <c r="AD94" s="106"/>
      <c r="AE94" s="106"/>
      <c r="AF94" s="106"/>
      <c r="AG94" s="106"/>
      <c r="AH94" s="106"/>
      <c r="AI94" s="106"/>
      <c r="AJ94" s="106"/>
    </row>
    <row r="95" spans="1:36" s="99" customFormat="1">
      <c r="A95" s="77">
        <f>IF(F95&lt;&gt;"",1+MAX($A$2:A94),"")</f>
        <v>72</v>
      </c>
      <c r="B95" s="56"/>
      <c r="C95" s="107"/>
      <c r="D95" s="57" t="s">
        <v>110</v>
      </c>
      <c r="E95" s="81">
        <v>84.7</v>
      </c>
      <c r="F95" s="108">
        <v>0.05</v>
      </c>
      <c r="G95" s="109">
        <f t="shared" si="76"/>
        <v>88.935000000000002</v>
      </c>
      <c r="H95" s="79" t="s">
        <v>99</v>
      </c>
      <c r="I95" s="71">
        <v>0.26700000000000002</v>
      </c>
      <c r="J95" s="72">
        <f t="shared" si="77"/>
        <v>23.745645000000003</v>
      </c>
      <c r="K95" s="73">
        <f>'LABOR SHEET'!C$3</f>
        <v>46.5</v>
      </c>
      <c r="L95" s="74">
        <f t="shared" si="78"/>
        <v>12.415500000000002</v>
      </c>
      <c r="M95" s="74">
        <f t="shared" si="79"/>
        <v>1104.1724925000001</v>
      </c>
      <c r="N95" s="74">
        <v>3.7</v>
      </c>
      <c r="O95" s="74">
        <f t="shared" si="80"/>
        <v>329.05950000000001</v>
      </c>
      <c r="P95" s="74">
        <f t="shared" si="81"/>
        <v>16.115500000000001</v>
      </c>
      <c r="Q95" s="58">
        <f t="shared" si="82"/>
        <v>1433.2319925000002</v>
      </c>
      <c r="R95" s="106"/>
      <c r="S95" s="106"/>
      <c r="T95" s="106"/>
      <c r="U95" s="106"/>
      <c r="V95" s="106"/>
      <c r="W95" s="106"/>
      <c r="X95" s="106"/>
      <c r="Y95" s="106"/>
      <c r="Z95" s="106"/>
      <c r="AA95" s="106"/>
      <c r="AB95" s="106"/>
      <c r="AC95" s="106"/>
      <c r="AD95" s="106"/>
      <c r="AE95" s="106"/>
      <c r="AF95" s="106"/>
      <c r="AG95" s="106"/>
      <c r="AH95" s="106"/>
      <c r="AI95" s="106"/>
      <c r="AJ95" s="106"/>
    </row>
    <row r="96" spans="1:36" s="99" customFormat="1">
      <c r="A96" s="65">
        <f>IF(F96&lt;&gt;"",1+MAX($A$2:A95),"")</f>
        <v>73</v>
      </c>
      <c r="B96" s="56"/>
      <c r="C96" s="107"/>
      <c r="D96" s="57" t="s">
        <v>111</v>
      </c>
      <c r="E96" s="81">
        <v>50.77</v>
      </c>
      <c r="F96" s="108">
        <v>0.05</v>
      </c>
      <c r="G96" s="109">
        <f t="shared" si="76"/>
        <v>53.308500000000002</v>
      </c>
      <c r="H96" s="79" t="s">
        <v>99</v>
      </c>
      <c r="I96" s="71">
        <v>0.29099999999999998</v>
      </c>
      <c r="J96" s="72">
        <f t="shared" si="77"/>
        <v>15.5127735</v>
      </c>
      <c r="K96" s="73">
        <f>'LABOR SHEET'!C$3</f>
        <v>46.5</v>
      </c>
      <c r="L96" s="74">
        <f t="shared" si="78"/>
        <v>13.531499999999999</v>
      </c>
      <c r="M96" s="74">
        <f t="shared" si="79"/>
        <v>721.34396774999993</v>
      </c>
      <c r="N96" s="74">
        <v>4.0999999999999996</v>
      </c>
      <c r="O96" s="74">
        <f t="shared" si="80"/>
        <v>218.56484999999998</v>
      </c>
      <c r="P96" s="74">
        <f t="shared" si="81"/>
        <v>17.631499999999999</v>
      </c>
      <c r="Q96" s="58">
        <f t="shared" si="82"/>
        <v>939.90881775000003</v>
      </c>
      <c r="R96" s="106"/>
      <c r="S96" s="106"/>
      <c r="T96" s="106"/>
      <c r="U96" s="106"/>
      <c r="V96" s="106"/>
      <c r="W96" s="106"/>
      <c r="X96" s="106"/>
      <c r="Y96" s="106"/>
      <c r="Z96" s="106"/>
      <c r="AA96" s="106"/>
      <c r="AB96" s="106"/>
      <c r="AC96" s="106"/>
      <c r="AD96" s="106"/>
      <c r="AE96" s="106"/>
      <c r="AF96" s="106"/>
      <c r="AG96" s="106"/>
      <c r="AH96" s="106"/>
      <c r="AI96" s="106"/>
      <c r="AJ96" s="106"/>
    </row>
    <row r="97" spans="1:36" s="99" customFormat="1">
      <c r="A97" s="77">
        <f>IF(F97&lt;&gt;"",1+MAX($A$2:A96),"")</f>
        <v>74</v>
      </c>
      <c r="B97" s="56"/>
      <c r="C97" s="107"/>
      <c r="D97" s="57" t="s">
        <v>112</v>
      </c>
      <c r="E97" s="81">
        <v>4</v>
      </c>
      <c r="F97" s="108">
        <v>0.05</v>
      </c>
      <c r="G97" s="109">
        <f t="shared" si="76"/>
        <v>4.2</v>
      </c>
      <c r="H97" s="79" t="s">
        <v>99</v>
      </c>
      <c r="I97" s="71">
        <v>0.31</v>
      </c>
      <c r="J97" s="72">
        <f t="shared" si="77"/>
        <v>1.302</v>
      </c>
      <c r="K97" s="73">
        <f>'LABOR SHEET'!C$3</f>
        <v>46.5</v>
      </c>
      <c r="L97" s="74">
        <f t="shared" si="78"/>
        <v>14.414999999999999</v>
      </c>
      <c r="M97" s="74">
        <f t="shared" si="79"/>
        <v>60.542999999999999</v>
      </c>
      <c r="N97" s="74">
        <v>4.3</v>
      </c>
      <c r="O97" s="74">
        <f t="shared" si="80"/>
        <v>18.059999999999999</v>
      </c>
      <c r="P97" s="74">
        <f t="shared" si="81"/>
        <v>18.715</v>
      </c>
      <c r="Q97" s="58">
        <f t="shared" si="82"/>
        <v>78.603000000000009</v>
      </c>
      <c r="R97" s="106"/>
      <c r="S97" s="106"/>
      <c r="T97" s="106"/>
      <c r="U97" s="106"/>
      <c r="V97" s="106"/>
      <c r="W97" s="106"/>
      <c r="X97" s="106"/>
      <c r="Y97" s="106"/>
      <c r="Z97" s="106"/>
      <c r="AA97" s="106"/>
      <c r="AB97" s="106"/>
      <c r="AC97" s="106"/>
      <c r="AD97" s="106"/>
      <c r="AE97" s="106"/>
      <c r="AF97" s="106"/>
      <c r="AG97" s="106"/>
      <c r="AH97" s="106"/>
      <c r="AI97" s="106"/>
      <c r="AJ97" s="106"/>
    </row>
    <row r="98" spans="1:36" s="99" customFormat="1">
      <c r="A98" s="65" t="str">
        <f>IF(F98&lt;&gt;"",1+MAX($A$2:A97),"")</f>
        <v/>
      </c>
      <c r="B98" s="56"/>
      <c r="C98" s="107"/>
      <c r="D98" s="57"/>
      <c r="E98" s="81"/>
      <c r="F98" s="108"/>
      <c r="G98" s="109"/>
      <c r="H98" s="79"/>
      <c r="I98" s="71"/>
      <c r="J98" s="72"/>
      <c r="K98" s="73"/>
      <c r="L98" s="74"/>
      <c r="M98" s="74"/>
      <c r="N98" s="74"/>
      <c r="O98" s="74"/>
      <c r="P98" s="74"/>
      <c r="Q98" s="58"/>
      <c r="R98" s="106"/>
      <c r="S98" s="106"/>
      <c r="T98" s="106"/>
      <c r="U98" s="106"/>
      <c r="V98" s="106"/>
      <c r="W98" s="106"/>
      <c r="X98" s="106"/>
      <c r="Y98" s="106"/>
      <c r="Z98" s="106"/>
      <c r="AA98" s="106"/>
      <c r="AB98" s="106"/>
      <c r="AC98" s="106"/>
      <c r="AD98" s="106"/>
      <c r="AE98" s="106"/>
      <c r="AF98" s="106"/>
      <c r="AG98" s="106"/>
      <c r="AH98" s="106"/>
      <c r="AI98" s="106"/>
      <c r="AJ98" s="106"/>
    </row>
    <row r="99" spans="1:36" s="99" customFormat="1">
      <c r="A99" s="77" t="str">
        <f>IF(F99&lt;&gt;"",1+MAX($A$2:A98),"")</f>
        <v/>
      </c>
      <c r="B99" s="56"/>
      <c r="C99" s="107"/>
      <c r="D99" s="59" t="s">
        <v>113</v>
      </c>
      <c r="E99" s="81"/>
      <c r="F99" s="108"/>
      <c r="G99" s="109"/>
      <c r="H99" s="79"/>
      <c r="I99" s="71"/>
      <c r="J99" s="72"/>
      <c r="K99" s="73"/>
      <c r="L99" s="74"/>
      <c r="M99" s="74"/>
      <c r="N99" s="74"/>
      <c r="O99" s="74"/>
      <c r="P99" s="74"/>
      <c r="Q99" s="58"/>
      <c r="R99" s="106"/>
      <c r="S99" s="106"/>
      <c r="T99" s="106"/>
      <c r="U99" s="106"/>
      <c r="V99" s="106"/>
      <c r="W99" s="106"/>
      <c r="X99" s="106"/>
      <c r="Y99" s="106"/>
      <c r="Z99" s="106"/>
      <c r="AA99" s="106"/>
      <c r="AB99" s="106"/>
      <c r="AC99" s="106"/>
      <c r="AD99" s="106"/>
      <c r="AE99" s="106"/>
      <c r="AF99" s="106"/>
      <c r="AG99" s="106"/>
      <c r="AH99" s="106"/>
      <c r="AI99" s="106"/>
      <c r="AJ99" s="106"/>
    </row>
    <row r="100" spans="1:36" s="99" customFormat="1">
      <c r="A100" s="65">
        <f>IF(F100&lt;&gt;"",1+MAX($A$2:A99),"")</f>
        <v>75</v>
      </c>
      <c r="B100" s="56"/>
      <c r="C100" s="107"/>
      <c r="D100" s="57" t="s">
        <v>114</v>
      </c>
      <c r="E100" s="81">
        <v>16.32</v>
      </c>
      <c r="F100" s="108">
        <v>0.05</v>
      </c>
      <c r="G100" s="109">
        <f t="shared" ref="G100:G109" si="83">E100*(1+F100)</f>
        <v>17.136000000000003</v>
      </c>
      <c r="H100" s="79" t="s">
        <v>99</v>
      </c>
      <c r="I100" s="71">
        <f>0.01*((10+8)*2)</f>
        <v>0.36</v>
      </c>
      <c r="J100" s="72">
        <f t="shared" ref="J100" si="84">+I100*G100</f>
        <v>6.1689600000000011</v>
      </c>
      <c r="K100" s="73">
        <f>'LABOR SHEET'!C$3</f>
        <v>46.5</v>
      </c>
      <c r="L100" s="74">
        <f t="shared" ref="L100" si="85">I100*K100</f>
        <v>16.739999999999998</v>
      </c>
      <c r="M100" s="74">
        <f t="shared" ref="M100" si="86">K100*J100</f>
        <v>286.85664000000003</v>
      </c>
      <c r="N100" s="74">
        <f>(10*8)*(0.1)</f>
        <v>8</v>
      </c>
      <c r="O100" s="74">
        <f t="shared" ref="O100" si="87">N100*G100</f>
        <v>137.08800000000002</v>
      </c>
      <c r="P100" s="74">
        <f t="shared" ref="P100" si="88">(I100*K100)+N100</f>
        <v>24.74</v>
      </c>
      <c r="Q100" s="58">
        <f t="shared" ref="Q100" si="89">P100*G100</f>
        <v>423.94464000000005</v>
      </c>
      <c r="R100" s="106"/>
      <c r="S100" s="106"/>
      <c r="T100" s="106"/>
      <c r="U100" s="106"/>
      <c r="V100" s="106"/>
      <c r="W100" s="106"/>
      <c r="X100" s="106"/>
      <c r="Y100" s="106"/>
      <c r="Z100" s="106"/>
      <c r="AA100" s="106"/>
      <c r="AB100" s="106"/>
      <c r="AC100" s="106"/>
      <c r="AD100" s="106"/>
      <c r="AE100" s="106"/>
      <c r="AF100" s="106"/>
      <c r="AG100" s="106"/>
      <c r="AH100" s="106"/>
      <c r="AI100" s="106"/>
      <c r="AJ100" s="106"/>
    </row>
    <row r="101" spans="1:36" s="99" customFormat="1">
      <c r="A101" s="77">
        <f>IF(F101&lt;&gt;"",1+MAX($A$2:A100),"")</f>
        <v>76</v>
      </c>
      <c r="B101" s="56"/>
      <c r="C101" s="107"/>
      <c r="D101" s="57" t="s">
        <v>115</v>
      </c>
      <c r="E101" s="81">
        <v>12.71</v>
      </c>
      <c r="F101" s="108">
        <v>0.05</v>
      </c>
      <c r="G101" s="109">
        <f t="shared" si="83"/>
        <v>13.345500000000001</v>
      </c>
      <c r="H101" s="79" t="s">
        <v>99</v>
      </c>
      <c r="I101" s="71">
        <f>0.01*((12+6)*2)</f>
        <v>0.36</v>
      </c>
      <c r="J101" s="72">
        <f t="shared" ref="J101:J128" si="90">+I101*G101</f>
        <v>4.8043800000000001</v>
      </c>
      <c r="K101" s="73">
        <f>'LABOR SHEET'!C$3</f>
        <v>46.5</v>
      </c>
      <c r="L101" s="74">
        <f t="shared" ref="L101:L128" si="91">I101*K101</f>
        <v>16.739999999999998</v>
      </c>
      <c r="M101" s="74">
        <f t="shared" ref="M101:M128" si="92">K101*J101</f>
        <v>223.40367000000001</v>
      </c>
      <c r="N101" s="74">
        <f>(12*6)*(0.1)</f>
        <v>7.2</v>
      </c>
      <c r="O101" s="74">
        <f t="shared" ref="O101:O128" si="93">N101*G101</f>
        <v>96.087600000000009</v>
      </c>
      <c r="P101" s="74">
        <f t="shared" ref="P101:P128" si="94">(I101*K101)+N101</f>
        <v>23.939999999999998</v>
      </c>
      <c r="Q101" s="58">
        <f t="shared" ref="Q101:Q128" si="95">P101*G101</f>
        <v>319.49126999999999</v>
      </c>
      <c r="R101" s="106"/>
      <c r="S101" s="106"/>
      <c r="T101" s="106"/>
      <c r="U101" s="106"/>
      <c r="V101" s="106"/>
      <c r="W101" s="106"/>
      <c r="X101" s="106"/>
      <c r="Y101" s="106"/>
      <c r="Z101" s="106"/>
      <c r="AA101" s="106"/>
      <c r="AB101" s="106"/>
      <c r="AC101" s="106"/>
      <c r="AD101" s="106"/>
      <c r="AE101" s="106"/>
      <c r="AF101" s="106"/>
      <c r="AG101" s="106"/>
      <c r="AH101" s="106"/>
      <c r="AI101" s="106"/>
      <c r="AJ101" s="106"/>
    </row>
    <row r="102" spans="1:36" s="99" customFormat="1">
      <c r="A102" s="65">
        <f>IF(F102&lt;&gt;"",1+MAX($A$2:A101),"")</f>
        <v>77</v>
      </c>
      <c r="B102" s="56"/>
      <c r="C102" s="107"/>
      <c r="D102" s="57" t="s">
        <v>116</v>
      </c>
      <c r="E102" s="81">
        <v>6.8</v>
      </c>
      <c r="F102" s="108">
        <v>0.05</v>
      </c>
      <c r="G102" s="109">
        <f t="shared" si="83"/>
        <v>7.14</v>
      </c>
      <c r="H102" s="79" t="s">
        <v>99</v>
      </c>
      <c r="I102" s="71">
        <f>0.01*((12+8)*2)</f>
        <v>0.4</v>
      </c>
      <c r="J102" s="72">
        <f t="shared" si="90"/>
        <v>2.8559999999999999</v>
      </c>
      <c r="K102" s="73">
        <f>'LABOR SHEET'!C$3</f>
        <v>46.5</v>
      </c>
      <c r="L102" s="74">
        <f t="shared" si="91"/>
        <v>18.600000000000001</v>
      </c>
      <c r="M102" s="74">
        <f t="shared" si="92"/>
        <v>132.804</v>
      </c>
      <c r="N102" s="74">
        <f>(12*8)*(0.1)</f>
        <v>9.6000000000000014</v>
      </c>
      <c r="O102" s="74">
        <f t="shared" si="93"/>
        <v>68.544000000000011</v>
      </c>
      <c r="P102" s="74">
        <f t="shared" si="94"/>
        <v>28.200000000000003</v>
      </c>
      <c r="Q102" s="58">
        <f t="shared" si="95"/>
        <v>201.34800000000001</v>
      </c>
      <c r="R102" s="106"/>
      <c r="S102" s="106"/>
      <c r="T102" s="106"/>
      <c r="U102" s="106"/>
      <c r="V102" s="106"/>
      <c r="W102" s="106"/>
      <c r="X102" s="106"/>
      <c r="Y102" s="106"/>
      <c r="Z102" s="106"/>
      <c r="AA102" s="106"/>
      <c r="AB102" s="106"/>
      <c r="AC102" s="106"/>
      <c r="AD102" s="106"/>
      <c r="AE102" s="106"/>
      <c r="AF102" s="106"/>
      <c r="AG102" s="106"/>
      <c r="AH102" s="106"/>
      <c r="AI102" s="106"/>
      <c r="AJ102" s="106"/>
    </row>
    <row r="103" spans="1:36" s="99" customFormat="1">
      <c r="A103" s="77">
        <f>IF(F103&lt;&gt;"",1+MAX($A$2:A102),"")</f>
        <v>78</v>
      </c>
      <c r="B103" s="56"/>
      <c r="C103" s="107"/>
      <c r="D103" s="57" t="s">
        <v>117</v>
      </c>
      <c r="E103" s="81">
        <v>14.15</v>
      </c>
      <c r="F103" s="108">
        <v>0.05</v>
      </c>
      <c r="G103" s="109">
        <f t="shared" si="83"/>
        <v>14.857500000000002</v>
      </c>
      <c r="H103" s="79" t="s">
        <v>99</v>
      </c>
      <c r="I103" s="71">
        <f>0.01*((12+9)*2)</f>
        <v>0.42</v>
      </c>
      <c r="J103" s="72">
        <f t="shared" si="90"/>
        <v>6.2401500000000008</v>
      </c>
      <c r="K103" s="73">
        <f>'LABOR SHEET'!C$3</f>
        <v>46.5</v>
      </c>
      <c r="L103" s="74">
        <f t="shared" si="91"/>
        <v>19.529999999999998</v>
      </c>
      <c r="M103" s="74">
        <f t="shared" si="92"/>
        <v>290.16697500000004</v>
      </c>
      <c r="N103" s="74">
        <f>(12*9)*(0.1)</f>
        <v>10.8</v>
      </c>
      <c r="O103" s="74">
        <f t="shared" si="93"/>
        <v>160.46100000000004</v>
      </c>
      <c r="P103" s="74">
        <f t="shared" si="94"/>
        <v>30.33</v>
      </c>
      <c r="Q103" s="58">
        <f t="shared" si="95"/>
        <v>450.62797500000005</v>
      </c>
      <c r="R103" s="106"/>
      <c r="S103" s="106"/>
      <c r="T103" s="106"/>
      <c r="U103" s="106"/>
      <c r="V103" s="106"/>
      <c r="W103" s="106"/>
      <c r="X103" s="106"/>
      <c r="Y103" s="106"/>
      <c r="Z103" s="106"/>
      <c r="AA103" s="106"/>
      <c r="AB103" s="106"/>
      <c r="AC103" s="106"/>
      <c r="AD103" s="106"/>
      <c r="AE103" s="106"/>
      <c r="AF103" s="106"/>
      <c r="AG103" s="106"/>
      <c r="AH103" s="106"/>
      <c r="AI103" s="106"/>
      <c r="AJ103" s="106"/>
    </row>
    <row r="104" spans="1:36" s="99" customFormat="1">
      <c r="A104" s="65">
        <f>IF(F104&lt;&gt;"",1+MAX($A$2:A103),"")</f>
        <v>79</v>
      </c>
      <c r="B104" s="56"/>
      <c r="C104" s="107"/>
      <c r="D104" s="57" t="s">
        <v>118</v>
      </c>
      <c r="E104" s="81">
        <v>60.1</v>
      </c>
      <c r="F104" s="108">
        <v>0.05</v>
      </c>
      <c r="G104" s="109">
        <f t="shared" si="83"/>
        <v>63.105000000000004</v>
      </c>
      <c r="H104" s="79" t="s">
        <v>99</v>
      </c>
      <c r="I104" s="71">
        <f>0.01*((12+12)*2)</f>
        <v>0.48</v>
      </c>
      <c r="J104" s="72">
        <f t="shared" si="90"/>
        <v>30.290400000000002</v>
      </c>
      <c r="K104" s="73">
        <f>'LABOR SHEET'!C$3</f>
        <v>46.5</v>
      </c>
      <c r="L104" s="74">
        <f t="shared" si="91"/>
        <v>22.32</v>
      </c>
      <c r="M104" s="74">
        <f t="shared" si="92"/>
        <v>1408.5036</v>
      </c>
      <c r="N104" s="74">
        <f>(12*12)*(0.1)</f>
        <v>14.4</v>
      </c>
      <c r="O104" s="74">
        <f t="shared" si="93"/>
        <v>908.7120000000001</v>
      </c>
      <c r="P104" s="74">
        <f t="shared" si="94"/>
        <v>36.72</v>
      </c>
      <c r="Q104" s="58">
        <f t="shared" si="95"/>
        <v>2317.2156</v>
      </c>
      <c r="R104" s="106"/>
      <c r="S104" s="106"/>
      <c r="T104" s="106"/>
      <c r="U104" s="106"/>
      <c r="V104" s="106"/>
      <c r="W104" s="106"/>
      <c r="X104" s="106"/>
      <c r="Y104" s="106"/>
      <c r="Z104" s="106"/>
      <c r="AA104" s="106"/>
      <c r="AB104" s="106"/>
      <c r="AC104" s="106"/>
      <c r="AD104" s="106"/>
      <c r="AE104" s="106"/>
      <c r="AF104" s="106"/>
      <c r="AG104" s="106"/>
      <c r="AH104" s="106"/>
      <c r="AI104" s="106"/>
      <c r="AJ104" s="106"/>
    </row>
    <row r="105" spans="1:36" s="99" customFormat="1">
      <c r="A105" s="77">
        <f>IF(F105&lt;&gt;"",1+MAX($A$2:A104),"")</f>
        <v>80</v>
      </c>
      <c r="B105" s="56"/>
      <c r="C105" s="107"/>
      <c r="D105" s="57" t="s">
        <v>119</v>
      </c>
      <c r="E105" s="81">
        <v>23.84</v>
      </c>
      <c r="F105" s="108">
        <v>0.05</v>
      </c>
      <c r="G105" s="109">
        <f t="shared" si="83"/>
        <v>25.032</v>
      </c>
      <c r="H105" s="79" t="s">
        <v>99</v>
      </c>
      <c r="I105" s="71">
        <f>0.01*((14+12)*2)</f>
        <v>0.52</v>
      </c>
      <c r="J105" s="72">
        <f t="shared" si="90"/>
        <v>13.016640000000001</v>
      </c>
      <c r="K105" s="73">
        <f>'LABOR SHEET'!C$3</f>
        <v>46.5</v>
      </c>
      <c r="L105" s="74">
        <f t="shared" si="91"/>
        <v>24.18</v>
      </c>
      <c r="M105" s="74">
        <f t="shared" si="92"/>
        <v>605.27376000000004</v>
      </c>
      <c r="N105" s="74">
        <f>(14*12)*(0.1)</f>
        <v>16.8</v>
      </c>
      <c r="O105" s="74">
        <f t="shared" si="93"/>
        <v>420.5376</v>
      </c>
      <c r="P105" s="74">
        <f t="shared" si="94"/>
        <v>40.980000000000004</v>
      </c>
      <c r="Q105" s="58">
        <f t="shared" si="95"/>
        <v>1025.8113600000001</v>
      </c>
      <c r="R105" s="106"/>
      <c r="S105" s="106"/>
      <c r="T105" s="106"/>
      <c r="U105" s="106"/>
      <c r="V105" s="106"/>
      <c r="W105" s="106"/>
      <c r="X105" s="106"/>
      <c r="Y105" s="106"/>
      <c r="Z105" s="106"/>
      <c r="AA105" s="106"/>
      <c r="AB105" s="106"/>
      <c r="AC105" s="106"/>
      <c r="AD105" s="106"/>
      <c r="AE105" s="106"/>
      <c r="AF105" s="106"/>
      <c r="AG105" s="106"/>
      <c r="AH105" s="106"/>
      <c r="AI105" s="106"/>
      <c r="AJ105" s="106"/>
    </row>
    <row r="106" spans="1:36" s="99" customFormat="1">
      <c r="A106" s="65">
        <f>IF(F106&lt;&gt;"",1+MAX($A$2:A105),"")</f>
        <v>81</v>
      </c>
      <c r="B106" s="56"/>
      <c r="C106" s="107"/>
      <c r="D106" s="57" t="s">
        <v>120</v>
      </c>
      <c r="E106" s="81">
        <v>5.8</v>
      </c>
      <c r="F106" s="108">
        <v>0.05</v>
      </c>
      <c r="G106" s="109">
        <f t="shared" si="83"/>
        <v>6.09</v>
      </c>
      <c r="H106" s="79" t="s">
        <v>99</v>
      </c>
      <c r="I106" s="71">
        <f>0.01*((18+12)*2)</f>
        <v>0.6</v>
      </c>
      <c r="J106" s="72">
        <f t="shared" si="90"/>
        <v>3.6539999999999999</v>
      </c>
      <c r="K106" s="73">
        <f>'LABOR SHEET'!C$3</f>
        <v>46.5</v>
      </c>
      <c r="L106" s="74">
        <f t="shared" si="91"/>
        <v>27.9</v>
      </c>
      <c r="M106" s="74">
        <f t="shared" si="92"/>
        <v>169.911</v>
      </c>
      <c r="N106" s="74">
        <f>(18*12)*(0.1)</f>
        <v>21.6</v>
      </c>
      <c r="O106" s="74">
        <f t="shared" si="93"/>
        <v>131.54400000000001</v>
      </c>
      <c r="P106" s="74">
        <f t="shared" si="94"/>
        <v>49.5</v>
      </c>
      <c r="Q106" s="58">
        <f t="shared" si="95"/>
        <v>301.45499999999998</v>
      </c>
      <c r="R106" s="106"/>
      <c r="S106" s="106"/>
      <c r="T106" s="106"/>
      <c r="U106" s="106"/>
      <c r="V106" s="106"/>
      <c r="W106" s="106"/>
      <c r="X106" s="106"/>
      <c r="Y106" s="106"/>
      <c r="Z106" s="106"/>
      <c r="AA106" s="106"/>
      <c r="AB106" s="106"/>
      <c r="AC106" s="106"/>
      <c r="AD106" s="106"/>
      <c r="AE106" s="106"/>
      <c r="AF106" s="106"/>
      <c r="AG106" s="106"/>
      <c r="AH106" s="106"/>
      <c r="AI106" s="106"/>
      <c r="AJ106" s="106"/>
    </row>
    <row r="107" spans="1:36" s="99" customFormat="1">
      <c r="A107" s="77">
        <f>IF(F107&lt;&gt;"",1+MAX($A$2:A106),"")</f>
        <v>82</v>
      </c>
      <c r="B107" s="56"/>
      <c r="C107" s="107"/>
      <c r="D107" s="57" t="s">
        <v>121</v>
      </c>
      <c r="E107" s="81">
        <v>9.23</v>
      </c>
      <c r="F107" s="108">
        <v>0.05</v>
      </c>
      <c r="G107" s="109">
        <f t="shared" si="83"/>
        <v>9.6915000000000013</v>
      </c>
      <c r="H107" s="79" t="s">
        <v>99</v>
      </c>
      <c r="I107" s="71">
        <f>0.01*((20+12)*2)</f>
        <v>0.64</v>
      </c>
      <c r="J107" s="72">
        <f t="shared" si="90"/>
        <v>6.202560000000001</v>
      </c>
      <c r="K107" s="73">
        <f>'LABOR SHEET'!C$3</f>
        <v>46.5</v>
      </c>
      <c r="L107" s="74">
        <f t="shared" si="91"/>
        <v>29.76</v>
      </c>
      <c r="M107" s="74">
        <f t="shared" si="92"/>
        <v>288.41904000000005</v>
      </c>
      <c r="N107" s="74">
        <f>(20*12)*(0.1)</f>
        <v>24</v>
      </c>
      <c r="O107" s="74">
        <f t="shared" si="93"/>
        <v>232.59600000000003</v>
      </c>
      <c r="P107" s="74">
        <f t="shared" si="94"/>
        <v>53.760000000000005</v>
      </c>
      <c r="Q107" s="58">
        <f t="shared" si="95"/>
        <v>521.01504000000011</v>
      </c>
      <c r="R107" s="106"/>
      <c r="S107" s="106"/>
      <c r="T107" s="106"/>
      <c r="U107" s="106"/>
      <c r="V107" s="106"/>
      <c r="W107" s="106"/>
      <c r="X107" s="106"/>
      <c r="Y107" s="106"/>
      <c r="Z107" s="106"/>
      <c r="AA107" s="106"/>
      <c r="AB107" s="106"/>
      <c r="AC107" s="106"/>
      <c r="AD107" s="106"/>
      <c r="AE107" s="106"/>
      <c r="AF107" s="106"/>
      <c r="AG107" s="106"/>
      <c r="AH107" s="106"/>
      <c r="AI107" s="106"/>
      <c r="AJ107" s="106"/>
    </row>
    <row r="108" spans="1:36" s="99" customFormat="1">
      <c r="A108" s="65">
        <f>IF(F108&lt;&gt;"",1+MAX($A$2:A107),"")</f>
        <v>83</v>
      </c>
      <c r="B108" s="56"/>
      <c r="C108" s="107"/>
      <c r="D108" s="57" t="s">
        <v>122</v>
      </c>
      <c r="E108" s="81">
        <v>50.49</v>
      </c>
      <c r="F108" s="108">
        <v>0.05</v>
      </c>
      <c r="G108" s="109">
        <f t="shared" si="83"/>
        <v>53.014500000000005</v>
      </c>
      <c r="H108" s="79" t="s">
        <v>99</v>
      </c>
      <c r="I108" s="71">
        <f>0.01*((24+12)*2)</f>
        <v>0.72</v>
      </c>
      <c r="J108" s="72">
        <f t="shared" si="90"/>
        <v>38.170439999999999</v>
      </c>
      <c r="K108" s="73">
        <f>'LABOR SHEET'!C$3</f>
        <v>46.5</v>
      </c>
      <c r="L108" s="74">
        <f t="shared" si="91"/>
        <v>33.479999999999997</v>
      </c>
      <c r="M108" s="74">
        <f t="shared" si="92"/>
        <v>1774.9254599999999</v>
      </c>
      <c r="N108" s="74">
        <f>(24*12)*(0.1)</f>
        <v>28.8</v>
      </c>
      <c r="O108" s="74">
        <f t="shared" si="93"/>
        <v>1526.8176000000001</v>
      </c>
      <c r="P108" s="74">
        <f t="shared" si="94"/>
        <v>62.28</v>
      </c>
      <c r="Q108" s="58">
        <f t="shared" si="95"/>
        <v>3301.7430600000002</v>
      </c>
      <c r="R108" s="106"/>
      <c r="S108" s="106"/>
      <c r="T108" s="106"/>
      <c r="U108" s="106"/>
      <c r="V108" s="106"/>
      <c r="W108" s="106"/>
      <c r="X108" s="106"/>
      <c r="Y108" s="106"/>
      <c r="Z108" s="106"/>
      <c r="AA108" s="106"/>
      <c r="AB108" s="106"/>
      <c r="AC108" s="106"/>
      <c r="AD108" s="106"/>
      <c r="AE108" s="106"/>
      <c r="AF108" s="106"/>
      <c r="AG108" s="106"/>
      <c r="AH108" s="106"/>
      <c r="AI108" s="106"/>
      <c r="AJ108" s="106"/>
    </row>
    <row r="109" spans="1:36" s="99" customFormat="1">
      <c r="A109" s="77">
        <f>IF(F109&lt;&gt;"",1+MAX($A$2:A108),"")</f>
        <v>84</v>
      </c>
      <c r="B109" s="56"/>
      <c r="C109" s="107"/>
      <c r="D109" s="57" t="s">
        <v>123</v>
      </c>
      <c r="E109" s="81">
        <v>8.18</v>
      </c>
      <c r="F109" s="108">
        <v>0.05</v>
      </c>
      <c r="G109" s="109">
        <f t="shared" si="83"/>
        <v>8.5890000000000004</v>
      </c>
      <c r="H109" s="79" t="s">
        <v>99</v>
      </c>
      <c r="I109" s="71">
        <f>0.01*((24+24)*2)</f>
        <v>0.96</v>
      </c>
      <c r="J109" s="72">
        <f t="shared" si="90"/>
        <v>8.2454400000000003</v>
      </c>
      <c r="K109" s="73">
        <f>'LABOR SHEET'!C$3</f>
        <v>46.5</v>
      </c>
      <c r="L109" s="74">
        <f t="shared" si="91"/>
        <v>44.64</v>
      </c>
      <c r="M109" s="74">
        <f t="shared" si="92"/>
        <v>383.41296</v>
      </c>
      <c r="N109" s="74">
        <f>(24*24)*(0.142)</f>
        <v>81.791999999999987</v>
      </c>
      <c r="O109" s="74">
        <f t="shared" si="93"/>
        <v>702.51148799999987</v>
      </c>
      <c r="P109" s="74">
        <f t="shared" si="94"/>
        <v>126.43199999999999</v>
      </c>
      <c r="Q109" s="58">
        <f t="shared" si="95"/>
        <v>1085.924448</v>
      </c>
      <c r="R109" s="106"/>
      <c r="S109" s="106"/>
      <c r="T109" s="106"/>
      <c r="U109" s="106"/>
      <c r="V109" s="106"/>
      <c r="W109" s="106"/>
      <c r="X109" s="106"/>
      <c r="Y109" s="106"/>
      <c r="Z109" s="106"/>
      <c r="AA109" s="106"/>
      <c r="AB109" s="106"/>
      <c r="AC109" s="106"/>
      <c r="AD109" s="106"/>
      <c r="AE109" s="106"/>
      <c r="AF109" s="106"/>
      <c r="AG109" s="106"/>
      <c r="AH109" s="106"/>
      <c r="AI109" s="106"/>
      <c r="AJ109" s="106"/>
    </row>
    <row r="110" spans="1:36" s="99" customFormat="1">
      <c r="A110" s="65">
        <f>IF(F110&lt;&gt;"",1+MAX($A$2:A109),"")</f>
        <v>85</v>
      </c>
      <c r="B110" s="56"/>
      <c r="C110" s="107"/>
      <c r="D110" s="57" t="s">
        <v>124</v>
      </c>
      <c r="E110" s="81">
        <v>108.54</v>
      </c>
      <c r="F110" s="108">
        <v>0.05</v>
      </c>
      <c r="G110" s="109">
        <f t="shared" ref="G110:G119" si="96">E110*(1+F110)</f>
        <v>113.96700000000001</v>
      </c>
      <c r="H110" s="79" t="s">
        <v>99</v>
      </c>
      <c r="I110" s="71">
        <f>0.01*((32+18)*2)</f>
        <v>1</v>
      </c>
      <c r="J110" s="72">
        <f t="shared" si="90"/>
        <v>113.96700000000001</v>
      </c>
      <c r="K110" s="73">
        <f>'LABOR SHEET'!C$3</f>
        <v>46.5</v>
      </c>
      <c r="L110" s="74">
        <f t="shared" si="91"/>
        <v>46.5</v>
      </c>
      <c r="M110" s="74">
        <f t="shared" si="92"/>
        <v>5299.4655000000002</v>
      </c>
      <c r="N110" s="74">
        <f>(32*18)*(0.1)</f>
        <v>57.6</v>
      </c>
      <c r="O110" s="74">
        <f t="shared" si="93"/>
        <v>6564.4992000000011</v>
      </c>
      <c r="P110" s="74">
        <f t="shared" si="94"/>
        <v>104.1</v>
      </c>
      <c r="Q110" s="58">
        <f t="shared" si="95"/>
        <v>11863.9647</v>
      </c>
      <c r="R110" s="106"/>
      <c r="S110" s="106"/>
      <c r="T110" s="106"/>
      <c r="U110" s="106"/>
      <c r="V110" s="106"/>
      <c r="W110" s="106"/>
      <c r="X110" s="106"/>
      <c r="Y110" s="106"/>
      <c r="Z110" s="106"/>
      <c r="AA110" s="106"/>
      <c r="AB110" s="106"/>
      <c r="AC110" s="106"/>
      <c r="AD110" s="106"/>
      <c r="AE110" s="106"/>
      <c r="AF110" s="106"/>
      <c r="AG110" s="106"/>
      <c r="AH110" s="106"/>
      <c r="AI110" s="106"/>
      <c r="AJ110" s="106"/>
    </row>
    <row r="111" spans="1:36" s="99" customFormat="1">
      <c r="A111" s="77">
        <f>IF(F111&lt;&gt;"",1+MAX($A$2:A110),"")</f>
        <v>86</v>
      </c>
      <c r="B111" s="56"/>
      <c r="C111" s="107"/>
      <c r="D111" s="57" t="s">
        <v>125</v>
      </c>
      <c r="E111" s="81">
        <v>30.02</v>
      </c>
      <c r="F111" s="108">
        <v>0.05</v>
      </c>
      <c r="G111" s="109">
        <f t="shared" si="96"/>
        <v>31.521000000000001</v>
      </c>
      <c r="H111" s="79" t="s">
        <v>99</v>
      </c>
      <c r="I111" s="71">
        <f>0.01*((32+22)*2)</f>
        <v>1.08</v>
      </c>
      <c r="J111" s="72">
        <f t="shared" si="90"/>
        <v>34.042680000000004</v>
      </c>
      <c r="K111" s="73">
        <f>'LABOR SHEET'!C$3</f>
        <v>46.5</v>
      </c>
      <c r="L111" s="74">
        <f t="shared" si="91"/>
        <v>50.220000000000006</v>
      </c>
      <c r="M111" s="74">
        <f t="shared" si="92"/>
        <v>1582.9846200000002</v>
      </c>
      <c r="N111" s="74">
        <f>(32*22)*(0.1)</f>
        <v>70.400000000000006</v>
      </c>
      <c r="O111" s="74">
        <f t="shared" si="93"/>
        <v>2219.0784000000003</v>
      </c>
      <c r="P111" s="74">
        <f t="shared" si="94"/>
        <v>120.62</v>
      </c>
      <c r="Q111" s="58">
        <f t="shared" si="95"/>
        <v>3802.0630200000001</v>
      </c>
      <c r="R111" s="106"/>
      <c r="S111" s="106"/>
      <c r="T111" s="106"/>
      <c r="U111" s="106"/>
      <c r="V111" s="106"/>
      <c r="W111" s="106"/>
      <c r="X111" s="106"/>
      <c r="Y111" s="106"/>
      <c r="Z111" s="106"/>
      <c r="AA111" s="106"/>
      <c r="AB111" s="106"/>
      <c r="AC111" s="106"/>
      <c r="AD111" s="106"/>
      <c r="AE111" s="106"/>
      <c r="AF111" s="106"/>
      <c r="AG111" s="106"/>
      <c r="AH111" s="106"/>
      <c r="AI111" s="106"/>
      <c r="AJ111" s="106"/>
    </row>
    <row r="112" spans="1:36" s="99" customFormat="1">
      <c r="A112" s="65">
        <f>IF(F112&lt;&gt;"",1+MAX($A$2:A111),"")</f>
        <v>87</v>
      </c>
      <c r="B112" s="56"/>
      <c r="C112" s="107"/>
      <c r="D112" s="57" t="s">
        <v>126</v>
      </c>
      <c r="E112" s="81">
        <v>12.35</v>
      </c>
      <c r="F112" s="108">
        <v>0.05</v>
      </c>
      <c r="G112" s="109">
        <f t="shared" si="96"/>
        <v>12.967499999999999</v>
      </c>
      <c r="H112" s="79" t="s">
        <v>99</v>
      </c>
      <c r="I112" s="71">
        <f>0.02*((32+22)*2)</f>
        <v>2.16</v>
      </c>
      <c r="J112" s="72">
        <f t="shared" si="90"/>
        <v>28.009800000000002</v>
      </c>
      <c r="K112" s="73">
        <f>'LABOR SHEET'!C$3</f>
        <v>46.5</v>
      </c>
      <c r="L112" s="74">
        <f t="shared" si="91"/>
        <v>100.44000000000001</v>
      </c>
      <c r="M112" s="74">
        <f t="shared" si="92"/>
        <v>1302.4557000000002</v>
      </c>
      <c r="N112" s="74">
        <f>(32*22)*(0.142)</f>
        <v>99.967999999999989</v>
      </c>
      <c r="O112" s="74">
        <f t="shared" si="93"/>
        <v>1296.3350399999997</v>
      </c>
      <c r="P112" s="74">
        <f t="shared" si="94"/>
        <v>200.40800000000002</v>
      </c>
      <c r="Q112" s="58">
        <f t="shared" si="95"/>
        <v>2598.7907399999999</v>
      </c>
      <c r="R112" s="106"/>
      <c r="S112" s="106"/>
      <c r="T112" s="106"/>
      <c r="U112" s="106"/>
      <c r="V112" s="106"/>
      <c r="W112" s="106"/>
      <c r="X112" s="106"/>
      <c r="Y112" s="106"/>
      <c r="Z112" s="106"/>
      <c r="AA112" s="106"/>
      <c r="AB112" s="106"/>
      <c r="AC112" s="106"/>
      <c r="AD112" s="106"/>
      <c r="AE112" s="106"/>
      <c r="AF112" s="106"/>
      <c r="AG112" s="106"/>
      <c r="AH112" s="106"/>
      <c r="AI112" s="106"/>
      <c r="AJ112" s="106"/>
    </row>
    <row r="113" spans="1:36" s="99" customFormat="1">
      <c r="A113" s="77">
        <f>IF(F113&lt;&gt;"",1+MAX($A$2:A112),"")</f>
        <v>88</v>
      </c>
      <c r="B113" s="56"/>
      <c r="C113" s="107"/>
      <c r="D113" s="57" t="s">
        <v>127</v>
      </c>
      <c r="E113" s="81">
        <v>22.59</v>
      </c>
      <c r="F113" s="108">
        <v>0.05</v>
      </c>
      <c r="G113" s="109">
        <f t="shared" si="96"/>
        <v>23.7195</v>
      </c>
      <c r="H113" s="79" t="s">
        <v>99</v>
      </c>
      <c r="I113" s="71">
        <f>0.01*((32+30)*2)</f>
        <v>1.24</v>
      </c>
      <c r="J113" s="72">
        <f t="shared" si="90"/>
        <v>29.412179999999999</v>
      </c>
      <c r="K113" s="73">
        <f>'LABOR SHEET'!C$3</f>
        <v>46.5</v>
      </c>
      <c r="L113" s="74">
        <f t="shared" si="91"/>
        <v>57.66</v>
      </c>
      <c r="M113" s="74">
        <f t="shared" si="92"/>
        <v>1367.6663699999999</v>
      </c>
      <c r="N113" s="74">
        <f>(32*30)*(0.1)</f>
        <v>96</v>
      </c>
      <c r="O113" s="74">
        <f t="shared" si="93"/>
        <v>2277.0720000000001</v>
      </c>
      <c r="P113" s="74">
        <f t="shared" si="94"/>
        <v>153.66</v>
      </c>
      <c r="Q113" s="58">
        <f t="shared" si="95"/>
        <v>3644.73837</v>
      </c>
      <c r="R113" s="106"/>
      <c r="S113" s="106"/>
      <c r="T113" s="106"/>
      <c r="U113" s="106"/>
      <c r="V113" s="106"/>
      <c r="W113" s="106"/>
      <c r="X113" s="106"/>
      <c r="Y113" s="106"/>
      <c r="Z113" s="106"/>
      <c r="AA113" s="106"/>
      <c r="AB113" s="106"/>
      <c r="AC113" s="106"/>
      <c r="AD113" s="106"/>
      <c r="AE113" s="106"/>
      <c r="AF113" s="106"/>
      <c r="AG113" s="106"/>
      <c r="AH113" s="106"/>
      <c r="AI113" s="106"/>
      <c r="AJ113" s="106"/>
    </row>
    <row r="114" spans="1:36" s="99" customFormat="1">
      <c r="A114" s="65">
        <f>IF(F114&lt;&gt;"",1+MAX($A$2:A113),"")</f>
        <v>89</v>
      </c>
      <c r="B114" s="56"/>
      <c r="C114" s="107"/>
      <c r="D114" s="57" t="s">
        <v>128</v>
      </c>
      <c r="E114" s="81">
        <v>20.72</v>
      </c>
      <c r="F114" s="108">
        <v>0.05</v>
      </c>
      <c r="G114" s="109">
        <f t="shared" si="96"/>
        <v>21.756</v>
      </c>
      <c r="H114" s="79" t="s">
        <v>99</v>
      </c>
      <c r="I114" s="71">
        <f>0.01*((8+8)*2)</f>
        <v>0.32</v>
      </c>
      <c r="J114" s="72">
        <f t="shared" si="90"/>
        <v>6.9619200000000001</v>
      </c>
      <c r="K114" s="73">
        <f>'LABOR SHEET'!C$3</f>
        <v>46.5</v>
      </c>
      <c r="L114" s="74">
        <f t="shared" si="91"/>
        <v>14.88</v>
      </c>
      <c r="M114" s="74">
        <f t="shared" si="92"/>
        <v>323.72928000000002</v>
      </c>
      <c r="N114" s="74">
        <f>(8*8)*(0.1)</f>
        <v>6.4</v>
      </c>
      <c r="O114" s="74">
        <f t="shared" si="93"/>
        <v>139.23840000000001</v>
      </c>
      <c r="P114" s="74">
        <f t="shared" si="94"/>
        <v>21.28</v>
      </c>
      <c r="Q114" s="58">
        <f t="shared" si="95"/>
        <v>462.96768000000003</v>
      </c>
      <c r="R114" s="106"/>
      <c r="S114" s="106"/>
      <c r="T114" s="106"/>
      <c r="U114" s="106"/>
      <c r="V114" s="106"/>
      <c r="W114" s="106"/>
      <c r="X114" s="106"/>
      <c r="Y114" s="106"/>
      <c r="Z114" s="106"/>
      <c r="AA114" s="106"/>
      <c r="AB114" s="106"/>
      <c r="AC114" s="106"/>
      <c r="AD114" s="106"/>
      <c r="AE114" s="106"/>
      <c r="AF114" s="106"/>
      <c r="AG114" s="106"/>
      <c r="AH114" s="106"/>
      <c r="AI114" s="106"/>
      <c r="AJ114" s="106"/>
    </row>
    <row r="115" spans="1:36" s="99" customFormat="1">
      <c r="A115" s="77">
        <f>IF(F115&lt;&gt;"",1+MAX($A$2:A114),"")</f>
        <v>90</v>
      </c>
      <c r="B115" s="56"/>
      <c r="C115" s="107"/>
      <c r="D115" s="57" t="s">
        <v>129</v>
      </c>
      <c r="E115" s="81">
        <v>9.64</v>
      </c>
      <c r="F115" s="108">
        <v>0.05</v>
      </c>
      <c r="G115" s="109">
        <f t="shared" si="96"/>
        <v>10.122000000000002</v>
      </c>
      <c r="H115" s="79" t="s">
        <v>99</v>
      </c>
      <c r="I115" s="71">
        <f>0.01*((8+12)*2)</f>
        <v>0.4</v>
      </c>
      <c r="J115" s="72">
        <f t="shared" si="90"/>
        <v>4.0488000000000008</v>
      </c>
      <c r="K115" s="73">
        <f>'LABOR SHEET'!C$3</f>
        <v>46.5</v>
      </c>
      <c r="L115" s="74">
        <f t="shared" si="91"/>
        <v>18.600000000000001</v>
      </c>
      <c r="M115" s="74">
        <f t="shared" si="92"/>
        <v>188.26920000000004</v>
      </c>
      <c r="N115" s="74">
        <f>(8*12)*(0.1)</f>
        <v>9.6000000000000014</v>
      </c>
      <c r="O115" s="74">
        <f t="shared" si="93"/>
        <v>97.171200000000027</v>
      </c>
      <c r="P115" s="74">
        <f t="shared" si="94"/>
        <v>28.200000000000003</v>
      </c>
      <c r="Q115" s="58">
        <f t="shared" si="95"/>
        <v>285.44040000000007</v>
      </c>
      <c r="R115" s="106"/>
      <c r="S115" s="106"/>
      <c r="T115" s="106"/>
      <c r="U115" s="106"/>
      <c r="V115" s="106"/>
      <c r="W115" s="106"/>
      <c r="X115" s="106"/>
      <c r="Y115" s="106"/>
      <c r="Z115" s="106"/>
      <c r="AA115" s="106"/>
      <c r="AB115" s="106"/>
      <c r="AC115" s="106"/>
      <c r="AD115" s="106"/>
      <c r="AE115" s="106"/>
      <c r="AF115" s="106"/>
      <c r="AG115" s="106"/>
      <c r="AH115" s="106"/>
      <c r="AI115" s="106"/>
      <c r="AJ115" s="106"/>
    </row>
    <row r="116" spans="1:36" s="99" customFormat="1">
      <c r="A116" s="65">
        <f>IF(F116&lt;&gt;"",1+MAX($A$2:A115),"")</f>
        <v>91</v>
      </c>
      <c r="B116" s="56"/>
      <c r="C116" s="107"/>
      <c r="D116" s="57" t="s">
        <v>130</v>
      </c>
      <c r="E116" s="81">
        <v>30.02</v>
      </c>
      <c r="F116" s="108">
        <v>0.05</v>
      </c>
      <c r="G116" s="109">
        <f t="shared" si="96"/>
        <v>31.521000000000001</v>
      </c>
      <c r="H116" s="79" t="s">
        <v>99</v>
      </c>
      <c r="I116" s="71">
        <f>0.01*((9+12)*2)</f>
        <v>0.42</v>
      </c>
      <c r="J116" s="72">
        <f t="shared" si="90"/>
        <v>13.23882</v>
      </c>
      <c r="K116" s="73">
        <f>'LABOR SHEET'!C$3</f>
        <v>46.5</v>
      </c>
      <c r="L116" s="74">
        <f t="shared" si="91"/>
        <v>19.529999999999998</v>
      </c>
      <c r="M116" s="74">
        <f t="shared" si="92"/>
        <v>615.60513000000003</v>
      </c>
      <c r="N116" s="74">
        <f>(9*12)*(0.1)</f>
        <v>10.8</v>
      </c>
      <c r="O116" s="74">
        <f t="shared" si="93"/>
        <v>340.42680000000001</v>
      </c>
      <c r="P116" s="74">
        <f t="shared" si="94"/>
        <v>30.33</v>
      </c>
      <c r="Q116" s="58">
        <f t="shared" si="95"/>
        <v>956.03192999999999</v>
      </c>
      <c r="R116" s="106"/>
      <c r="S116" s="106"/>
      <c r="T116" s="106"/>
      <c r="U116" s="106"/>
      <c r="V116" s="106"/>
      <c r="W116" s="106"/>
      <c r="X116" s="106"/>
      <c r="Y116" s="106"/>
      <c r="Z116" s="106"/>
      <c r="AA116" s="106"/>
      <c r="AB116" s="106"/>
      <c r="AC116" s="106"/>
      <c r="AD116" s="106"/>
      <c r="AE116" s="106"/>
      <c r="AF116" s="106"/>
      <c r="AG116" s="106"/>
      <c r="AH116" s="106"/>
      <c r="AI116" s="106"/>
      <c r="AJ116" s="106"/>
    </row>
    <row r="117" spans="1:36" s="99" customFormat="1">
      <c r="A117" s="77">
        <f>IF(F117&lt;&gt;"",1+MAX($A$2:A116),"")</f>
        <v>92</v>
      </c>
      <c r="B117" s="56"/>
      <c r="C117" s="107"/>
      <c r="D117" s="57" t="s">
        <v>131</v>
      </c>
      <c r="E117" s="81">
        <v>19.47</v>
      </c>
      <c r="F117" s="108">
        <v>0.05</v>
      </c>
      <c r="G117" s="109">
        <f t="shared" si="96"/>
        <v>20.4435</v>
      </c>
      <c r="H117" s="79" t="s">
        <v>99</v>
      </c>
      <c r="I117" s="71">
        <f>0.01*((12+12)*2)</f>
        <v>0.48</v>
      </c>
      <c r="J117" s="72">
        <f t="shared" si="90"/>
        <v>9.8128799999999998</v>
      </c>
      <c r="K117" s="73">
        <f>'LABOR SHEET'!C$3</f>
        <v>46.5</v>
      </c>
      <c r="L117" s="74">
        <f t="shared" si="91"/>
        <v>22.32</v>
      </c>
      <c r="M117" s="74">
        <f t="shared" si="92"/>
        <v>456.29892000000001</v>
      </c>
      <c r="N117" s="74">
        <f>(12*12)*(0.1)</f>
        <v>14.4</v>
      </c>
      <c r="O117" s="74">
        <f t="shared" si="93"/>
        <v>294.38640000000004</v>
      </c>
      <c r="P117" s="74">
        <f t="shared" si="94"/>
        <v>36.72</v>
      </c>
      <c r="Q117" s="58">
        <f t="shared" si="95"/>
        <v>750.68531999999993</v>
      </c>
      <c r="R117" s="106"/>
      <c r="S117" s="106"/>
      <c r="T117" s="106"/>
      <c r="U117" s="106"/>
      <c r="V117" s="106"/>
      <c r="W117" s="106"/>
      <c r="X117" s="106"/>
      <c r="Y117" s="106"/>
      <c r="Z117" s="106"/>
      <c r="AA117" s="106"/>
      <c r="AB117" s="106"/>
      <c r="AC117" s="106"/>
      <c r="AD117" s="106"/>
      <c r="AE117" s="106"/>
      <c r="AF117" s="106"/>
      <c r="AG117" s="106"/>
      <c r="AH117" s="106"/>
      <c r="AI117" s="106"/>
      <c r="AJ117" s="106"/>
    </row>
    <row r="118" spans="1:36" s="99" customFormat="1">
      <c r="A118" s="65">
        <f>IF(F118&lt;&gt;"",1+MAX($A$2:A117),"")</f>
        <v>93</v>
      </c>
      <c r="B118" s="56"/>
      <c r="C118" s="107"/>
      <c r="D118" s="57" t="s">
        <v>132</v>
      </c>
      <c r="E118" s="81">
        <v>37.94</v>
      </c>
      <c r="F118" s="108">
        <v>0.05</v>
      </c>
      <c r="G118" s="109">
        <f t="shared" si="96"/>
        <v>39.836999999999996</v>
      </c>
      <c r="H118" s="79" t="s">
        <v>99</v>
      </c>
      <c r="I118" s="71">
        <f>0.01*((14+12)*2)</f>
        <v>0.52</v>
      </c>
      <c r="J118" s="72">
        <f t="shared" si="90"/>
        <v>20.715239999999998</v>
      </c>
      <c r="K118" s="73">
        <f>'LABOR SHEET'!C$3</f>
        <v>46.5</v>
      </c>
      <c r="L118" s="74">
        <f t="shared" si="91"/>
        <v>24.18</v>
      </c>
      <c r="M118" s="74">
        <f t="shared" si="92"/>
        <v>963.25865999999985</v>
      </c>
      <c r="N118" s="74">
        <f>(14*12)*(0.1)</f>
        <v>16.8</v>
      </c>
      <c r="O118" s="74">
        <f t="shared" si="93"/>
        <v>669.26159999999993</v>
      </c>
      <c r="P118" s="74">
        <f t="shared" si="94"/>
        <v>40.980000000000004</v>
      </c>
      <c r="Q118" s="58">
        <f t="shared" si="95"/>
        <v>1632.52026</v>
      </c>
      <c r="R118" s="106"/>
      <c r="S118" s="106"/>
      <c r="T118" s="106"/>
      <c r="U118" s="106"/>
      <c r="V118" s="106"/>
      <c r="W118" s="106"/>
      <c r="X118" s="106"/>
      <c r="Y118" s="106"/>
      <c r="Z118" s="106"/>
      <c r="AA118" s="106"/>
      <c r="AB118" s="106"/>
      <c r="AC118" s="106"/>
      <c r="AD118" s="106"/>
      <c r="AE118" s="106"/>
      <c r="AF118" s="106"/>
      <c r="AG118" s="106"/>
      <c r="AH118" s="106"/>
      <c r="AI118" s="106"/>
      <c r="AJ118" s="106"/>
    </row>
    <row r="119" spans="1:36" s="99" customFormat="1">
      <c r="A119" s="77">
        <f>IF(F119&lt;&gt;"",1+MAX($A$2:A118),"")</f>
        <v>94</v>
      </c>
      <c r="B119" s="56"/>
      <c r="C119" s="107"/>
      <c r="D119" s="57" t="s">
        <v>133</v>
      </c>
      <c r="E119" s="81">
        <v>22.55</v>
      </c>
      <c r="F119" s="108">
        <v>0.05</v>
      </c>
      <c r="G119" s="109">
        <f t="shared" si="96"/>
        <v>23.677500000000002</v>
      </c>
      <c r="H119" s="79" t="s">
        <v>99</v>
      </c>
      <c r="I119" s="71">
        <f>0.01*((16+16)*2)</f>
        <v>0.64</v>
      </c>
      <c r="J119" s="72">
        <f t="shared" si="90"/>
        <v>15.153600000000001</v>
      </c>
      <c r="K119" s="73">
        <f>'LABOR SHEET'!C$3</f>
        <v>46.5</v>
      </c>
      <c r="L119" s="74">
        <f t="shared" si="91"/>
        <v>29.76</v>
      </c>
      <c r="M119" s="74">
        <f t="shared" si="92"/>
        <v>704.64240000000007</v>
      </c>
      <c r="N119" s="74">
        <f>(16*16)*(0.1)</f>
        <v>25.6</v>
      </c>
      <c r="O119" s="74">
        <f t="shared" si="93"/>
        <v>606.14400000000012</v>
      </c>
      <c r="P119" s="74">
        <f t="shared" si="94"/>
        <v>55.36</v>
      </c>
      <c r="Q119" s="58">
        <f t="shared" si="95"/>
        <v>1310.7864000000002</v>
      </c>
      <c r="R119" s="106"/>
      <c r="S119" s="106"/>
      <c r="T119" s="106"/>
      <c r="U119" s="106"/>
      <c r="V119" s="106"/>
      <c r="W119" s="106"/>
      <c r="X119" s="106"/>
      <c r="Y119" s="106"/>
      <c r="Z119" s="106"/>
      <c r="AA119" s="106"/>
      <c r="AB119" s="106"/>
      <c r="AC119" s="106"/>
      <c r="AD119" s="106"/>
      <c r="AE119" s="106"/>
      <c r="AF119" s="106"/>
      <c r="AG119" s="106"/>
      <c r="AH119" s="106"/>
      <c r="AI119" s="106"/>
      <c r="AJ119" s="106"/>
    </row>
    <row r="120" spans="1:36" s="99" customFormat="1">
      <c r="A120" s="65">
        <f>IF(F120&lt;&gt;"",1+MAX($A$2:A119),"")</f>
        <v>95</v>
      </c>
      <c r="B120" s="56"/>
      <c r="C120" s="107"/>
      <c r="D120" s="57" t="s">
        <v>134</v>
      </c>
      <c r="E120" s="81">
        <v>41.79</v>
      </c>
      <c r="F120" s="108">
        <v>0.05</v>
      </c>
      <c r="G120" s="109">
        <f t="shared" ref="G120:G128" si="97">E120*(1+F120)</f>
        <v>43.8795</v>
      </c>
      <c r="H120" s="79" t="s">
        <v>99</v>
      </c>
      <c r="I120" s="71">
        <f>0.01*((18+12)*2)</f>
        <v>0.6</v>
      </c>
      <c r="J120" s="72">
        <f t="shared" si="90"/>
        <v>26.3277</v>
      </c>
      <c r="K120" s="73">
        <f>'LABOR SHEET'!C$3</f>
        <v>46.5</v>
      </c>
      <c r="L120" s="74">
        <f t="shared" si="91"/>
        <v>27.9</v>
      </c>
      <c r="M120" s="74">
        <f t="shared" si="92"/>
        <v>1224.2380499999999</v>
      </c>
      <c r="N120" s="74">
        <f>(18*12)*(0.1)</f>
        <v>21.6</v>
      </c>
      <c r="O120" s="74">
        <f t="shared" si="93"/>
        <v>947.79720000000009</v>
      </c>
      <c r="P120" s="74">
        <f t="shared" si="94"/>
        <v>49.5</v>
      </c>
      <c r="Q120" s="58">
        <f t="shared" si="95"/>
        <v>2172.0352499999999</v>
      </c>
      <c r="R120" s="106"/>
      <c r="S120" s="106"/>
      <c r="T120" s="106"/>
      <c r="U120" s="106"/>
      <c r="V120" s="106"/>
      <c r="W120" s="106"/>
      <c r="X120" s="106"/>
      <c r="Y120" s="106"/>
      <c r="Z120" s="106"/>
      <c r="AA120" s="106"/>
      <c r="AB120" s="106"/>
      <c r="AC120" s="106"/>
      <c r="AD120" s="106"/>
      <c r="AE120" s="106"/>
      <c r="AF120" s="106"/>
      <c r="AG120" s="106"/>
      <c r="AH120" s="106"/>
      <c r="AI120" s="106"/>
      <c r="AJ120" s="106"/>
    </row>
    <row r="121" spans="1:36" s="99" customFormat="1">
      <c r="A121" s="77">
        <f>IF(F121&lt;&gt;"",1+MAX($A$2:A120),"")</f>
        <v>96</v>
      </c>
      <c r="B121" s="56"/>
      <c r="C121" s="107"/>
      <c r="D121" s="57" t="s">
        <v>135</v>
      </c>
      <c r="E121" s="81">
        <v>25.83</v>
      </c>
      <c r="F121" s="108">
        <v>0.05</v>
      </c>
      <c r="G121" s="109">
        <f t="shared" si="97"/>
        <v>27.121500000000001</v>
      </c>
      <c r="H121" s="79" t="s">
        <v>99</v>
      </c>
      <c r="I121" s="71">
        <f>0.01*((24+12)*2)</f>
        <v>0.72</v>
      </c>
      <c r="J121" s="72">
        <f t="shared" si="90"/>
        <v>19.527480000000001</v>
      </c>
      <c r="K121" s="73">
        <f>'LABOR SHEET'!C$3</f>
        <v>46.5</v>
      </c>
      <c r="L121" s="74">
        <f t="shared" si="91"/>
        <v>33.479999999999997</v>
      </c>
      <c r="M121" s="74">
        <f t="shared" si="92"/>
        <v>908.02782000000002</v>
      </c>
      <c r="N121" s="74">
        <f>(24*12)*(0.1)</f>
        <v>28.8</v>
      </c>
      <c r="O121" s="74">
        <f t="shared" si="93"/>
        <v>781.0992</v>
      </c>
      <c r="P121" s="74">
        <f t="shared" si="94"/>
        <v>62.28</v>
      </c>
      <c r="Q121" s="58">
        <f t="shared" si="95"/>
        <v>1689.1270200000001</v>
      </c>
      <c r="R121" s="106"/>
      <c r="S121" s="106"/>
      <c r="T121" s="106"/>
      <c r="U121" s="106"/>
      <c r="V121" s="106"/>
      <c r="W121" s="106"/>
      <c r="X121" s="106"/>
      <c r="Y121" s="106"/>
      <c r="Z121" s="106"/>
      <c r="AA121" s="106"/>
      <c r="AB121" s="106"/>
      <c r="AC121" s="106"/>
      <c r="AD121" s="106"/>
      <c r="AE121" s="106"/>
      <c r="AF121" s="106"/>
      <c r="AG121" s="106"/>
      <c r="AH121" s="106"/>
      <c r="AI121" s="106"/>
      <c r="AJ121" s="106"/>
    </row>
    <row r="122" spans="1:36" s="99" customFormat="1">
      <c r="A122" s="65">
        <f>IF(F122&lt;&gt;"",1+MAX($A$2:A121),"")</f>
        <v>97</v>
      </c>
      <c r="B122" s="56"/>
      <c r="C122" s="107"/>
      <c r="D122" s="57" t="s">
        <v>136</v>
      </c>
      <c r="E122" s="81">
        <v>26.81</v>
      </c>
      <c r="F122" s="108">
        <v>0.05</v>
      </c>
      <c r="G122" s="109">
        <f t="shared" si="97"/>
        <v>28.150500000000001</v>
      </c>
      <c r="H122" s="79" t="s">
        <v>99</v>
      </c>
      <c r="I122" s="71">
        <f>0.01*((26+24)*2)</f>
        <v>1</v>
      </c>
      <c r="J122" s="72">
        <f t="shared" si="90"/>
        <v>28.150500000000001</v>
      </c>
      <c r="K122" s="73">
        <f>'LABOR SHEET'!C$3</f>
        <v>46.5</v>
      </c>
      <c r="L122" s="74">
        <f t="shared" si="91"/>
        <v>46.5</v>
      </c>
      <c r="M122" s="74">
        <f t="shared" si="92"/>
        <v>1308.9982500000001</v>
      </c>
      <c r="N122" s="74">
        <f>(26*24)*(0.1)</f>
        <v>62.400000000000006</v>
      </c>
      <c r="O122" s="74">
        <f t="shared" si="93"/>
        <v>1756.5912000000003</v>
      </c>
      <c r="P122" s="74">
        <f t="shared" si="94"/>
        <v>108.9</v>
      </c>
      <c r="Q122" s="58">
        <f t="shared" si="95"/>
        <v>3065.5894500000004</v>
      </c>
      <c r="R122" s="106"/>
      <c r="S122" s="106"/>
      <c r="T122" s="106"/>
      <c r="U122" s="106"/>
      <c r="V122" s="106"/>
      <c r="W122" s="106"/>
      <c r="X122" s="106"/>
      <c r="Y122" s="106"/>
      <c r="Z122" s="106"/>
      <c r="AA122" s="106"/>
      <c r="AB122" s="106"/>
      <c r="AC122" s="106"/>
      <c r="AD122" s="106"/>
      <c r="AE122" s="106"/>
      <c r="AF122" s="106"/>
      <c r="AG122" s="106"/>
      <c r="AH122" s="106"/>
      <c r="AI122" s="106"/>
      <c r="AJ122" s="106"/>
    </row>
    <row r="123" spans="1:36" s="99" customFormat="1">
      <c r="A123" s="77">
        <f>IF(F123&lt;&gt;"",1+MAX($A$2:A122),"")</f>
        <v>98</v>
      </c>
      <c r="B123" s="56"/>
      <c r="C123" s="107"/>
      <c r="D123" s="57" t="s">
        <v>137</v>
      </c>
      <c r="E123" s="81">
        <v>2.85</v>
      </c>
      <c r="F123" s="108">
        <v>0.05</v>
      </c>
      <c r="G123" s="109">
        <f t="shared" si="97"/>
        <v>2.9925000000000002</v>
      </c>
      <c r="H123" s="79" t="s">
        <v>99</v>
      </c>
      <c r="I123" s="71">
        <f>0.02*((30+22)*2)</f>
        <v>2.08</v>
      </c>
      <c r="J123" s="72">
        <f t="shared" si="90"/>
        <v>6.2244000000000002</v>
      </c>
      <c r="K123" s="73">
        <f>'LABOR SHEET'!C$3</f>
        <v>46.5</v>
      </c>
      <c r="L123" s="74">
        <f t="shared" si="91"/>
        <v>96.72</v>
      </c>
      <c r="M123" s="74">
        <f t="shared" si="92"/>
        <v>289.43459999999999</v>
      </c>
      <c r="N123" s="74">
        <f>(30*22)*(0.142)</f>
        <v>93.719999999999985</v>
      </c>
      <c r="O123" s="74">
        <f t="shared" si="93"/>
        <v>280.45709999999997</v>
      </c>
      <c r="P123" s="74">
        <f t="shared" si="94"/>
        <v>190.44</v>
      </c>
      <c r="Q123" s="58">
        <f t="shared" si="95"/>
        <v>569.89170000000001</v>
      </c>
      <c r="R123" s="106"/>
      <c r="S123" s="106"/>
      <c r="T123" s="106"/>
      <c r="U123" s="106"/>
      <c r="V123" s="106"/>
      <c r="W123" s="106"/>
      <c r="X123" s="106"/>
      <c r="Y123" s="106"/>
      <c r="Z123" s="106"/>
      <c r="AA123" s="106"/>
      <c r="AB123" s="106"/>
      <c r="AC123" s="106"/>
      <c r="AD123" s="106"/>
      <c r="AE123" s="106"/>
      <c r="AF123" s="106"/>
      <c r="AG123" s="106"/>
      <c r="AH123" s="106"/>
      <c r="AI123" s="106"/>
      <c r="AJ123" s="106"/>
    </row>
    <row r="124" spans="1:36" s="99" customFormat="1">
      <c r="A124" s="65">
        <f>IF(F124&lt;&gt;"",1+MAX($A$2:A123),"")</f>
        <v>99</v>
      </c>
      <c r="B124" s="56"/>
      <c r="C124" s="107"/>
      <c r="D124" s="57" t="s">
        <v>138</v>
      </c>
      <c r="E124" s="81">
        <v>29.51</v>
      </c>
      <c r="F124" s="108">
        <v>0.05</v>
      </c>
      <c r="G124" s="109">
        <f t="shared" si="97"/>
        <v>30.985500000000002</v>
      </c>
      <c r="H124" s="79" t="s">
        <v>99</v>
      </c>
      <c r="I124" s="71">
        <f>0.01*((32+22)*2)</f>
        <v>1.08</v>
      </c>
      <c r="J124" s="72">
        <f t="shared" si="90"/>
        <v>33.464340000000007</v>
      </c>
      <c r="K124" s="73">
        <f>'LABOR SHEET'!C$3</f>
        <v>46.5</v>
      </c>
      <c r="L124" s="74">
        <f t="shared" si="91"/>
        <v>50.220000000000006</v>
      </c>
      <c r="M124" s="74">
        <f t="shared" si="92"/>
        <v>1556.0918100000004</v>
      </c>
      <c r="N124" s="74">
        <f>(32*30)*(0.1)</f>
        <v>96</v>
      </c>
      <c r="O124" s="74">
        <f t="shared" si="93"/>
        <v>2974.6080000000002</v>
      </c>
      <c r="P124" s="74">
        <f t="shared" si="94"/>
        <v>146.22</v>
      </c>
      <c r="Q124" s="58">
        <f t="shared" si="95"/>
        <v>4530.6998100000001</v>
      </c>
      <c r="R124" s="106"/>
      <c r="S124" s="106"/>
      <c r="T124" s="106"/>
      <c r="U124" s="106"/>
      <c r="V124" s="106"/>
      <c r="W124" s="106"/>
      <c r="X124" s="106"/>
      <c r="Y124" s="106"/>
      <c r="Z124" s="106"/>
      <c r="AA124" s="106"/>
      <c r="AB124" s="106"/>
      <c r="AC124" s="106"/>
      <c r="AD124" s="106"/>
      <c r="AE124" s="106"/>
      <c r="AF124" s="106"/>
      <c r="AG124" s="106"/>
      <c r="AH124" s="106"/>
      <c r="AI124" s="106"/>
      <c r="AJ124" s="106"/>
    </row>
    <row r="125" spans="1:36" s="99" customFormat="1">
      <c r="A125" s="77">
        <f>IF(F125&lt;&gt;"",1+MAX($A$2:A124),"")</f>
        <v>100</v>
      </c>
      <c r="B125" s="56"/>
      <c r="C125" s="107"/>
      <c r="D125" s="57" t="s">
        <v>139</v>
      </c>
      <c r="E125" s="81">
        <v>45.85</v>
      </c>
      <c r="F125" s="108">
        <v>0.05</v>
      </c>
      <c r="G125" s="109">
        <f t="shared" si="97"/>
        <v>48.142500000000005</v>
      </c>
      <c r="H125" s="79" t="s">
        <v>99</v>
      </c>
      <c r="I125" s="71">
        <f>0.01*((32+30)*2)</f>
        <v>1.24</v>
      </c>
      <c r="J125" s="72">
        <f t="shared" si="90"/>
        <v>59.696700000000007</v>
      </c>
      <c r="K125" s="73">
        <f>'LABOR SHEET'!C$3</f>
        <v>46.5</v>
      </c>
      <c r="L125" s="74">
        <f t="shared" si="91"/>
        <v>57.66</v>
      </c>
      <c r="M125" s="74">
        <f t="shared" si="92"/>
        <v>2775.8965500000004</v>
      </c>
      <c r="N125" s="74">
        <f>(32*30)*(0.1)</f>
        <v>96</v>
      </c>
      <c r="O125" s="74">
        <f t="shared" si="93"/>
        <v>4621.68</v>
      </c>
      <c r="P125" s="74">
        <f t="shared" si="94"/>
        <v>153.66</v>
      </c>
      <c r="Q125" s="58">
        <f t="shared" si="95"/>
        <v>7397.5765500000007</v>
      </c>
      <c r="R125" s="106"/>
      <c r="S125" s="106"/>
      <c r="T125" s="106"/>
      <c r="U125" s="106"/>
      <c r="V125" s="106"/>
      <c r="W125" s="106"/>
      <c r="X125" s="106"/>
      <c r="Y125" s="106"/>
      <c r="Z125" s="106"/>
      <c r="AA125" s="106"/>
      <c r="AB125" s="106"/>
      <c r="AC125" s="106"/>
      <c r="AD125" s="106"/>
      <c r="AE125" s="106"/>
      <c r="AF125" s="106"/>
      <c r="AG125" s="106"/>
      <c r="AH125" s="106"/>
      <c r="AI125" s="106"/>
      <c r="AJ125" s="106"/>
    </row>
    <row r="126" spans="1:36" s="99" customFormat="1">
      <c r="A126" s="65">
        <f>IF(F126&lt;&gt;"",1+MAX($A$2:A125),"")</f>
        <v>101</v>
      </c>
      <c r="B126" s="56"/>
      <c r="C126" s="107"/>
      <c r="D126" s="57" t="s">
        <v>140</v>
      </c>
      <c r="E126" s="81">
        <v>9.2799999999999994</v>
      </c>
      <c r="F126" s="108">
        <v>0.05</v>
      </c>
      <c r="G126" s="109">
        <f t="shared" si="97"/>
        <v>9.7439999999999998</v>
      </c>
      <c r="H126" s="79" t="s">
        <v>99</v>
      </c>
      <c r="I126" s="71">
        <f>0.02*((32+30)*2)</f>
        <v>2.48</v>
      </c>
      <c r="J126" s="72">
        <f t="shared" si="90"/>
        <v>24.165119999999998</v>
      </c>
      <c r="K126" s="73">
        <f>'LABOR SHEET'!C$3</f>
        <v>46.5</v>
      </c>
      <c r="L126" s="74">
        <f t="shared" si="91"/>
        <v>115.32</v>
      </c>
      <c r="M126" s="74">
        <f t="shared" si="92"/>
        <v>1123.6780799999999</v>
      </c>
      <c r="N126" s="74">
        <f>(32*30)*(0.142)</f>
        <v>136.32</v>
      </c>
      <c r="O126" s="74">
        <f t="shared" si="93"/>
        <v>1328.3020799999999</v>
      </c>
      <c r="P126" s="74">
        <f t="shared" si="94"/>
        <v>251.64</v>
      </c>
      <c r="Q126" s="58">
        <f t="shared" si="95"/>
        <v>2451.9801599999996</v>
      </c>
      <c r="R126" s="106"/>
      <c r="S126" s="106"/>
      <c r="T126" s="106"/>
      <c r="U126" s="106"/>
      <c r="V126" s="106"/>
      <c r="W126" s="106"/>
      <c r="X126" s="106"/>
      <c r="Y126" s="106"/>
      <c r="Z126" s="106"/>
      <c r="AA126" s="106"/>
      <c r="AB126" s="106"/>
      <c r="AC126" s="106"/>
      <c r="AD126" s="106"/>
      <c r="AE126" s="106"/>
      <c r="AF126" s="106"/>
      <c r="AG126" s="106"/>
      <c r="AH126" s="106"/>
      <c r="AI126" s="106"/>
      <c r="AJ126" s="106"/>
    </row>
    <row r="127" spans="1:36" s="99" customFormat="1">
      <c r="A127" s="77">
        <f>IF(F127&lt;&gt;"",1+MAX($A$2:A126),"")</f>
        <v>102</v>
      </c>
      <c r="B127" s="56"/>
      <c r="C127" s="107"/>
      <c r="D127" s="57" t="s">
        <v>141</v>
      </c>
      <c r="E127" s="81">
        <v>9.0500000000000007</v>
      </c>
      <c r="F127" s="108">
        <v>0.05</v>
      </c>
      <c r="G127" s="109">
        <f t="shared" si="97"/>
        <v>9.5025000000000013</v>
      </c>
      <c r="H127" s="79" t="s">
        <v>99</v>
      </c>
      <c r="I127" s="71">
        <f>0.02*((36+12)*2)</f>
        <v>1.92</v>
      </c>
      <c r="J127" s="72">
        <f t="shared" si="90"/>
        <v>18.244800000000001</v>
      </c>
      <c r="K127" s="73">
        <f>'LABOR SHEET'!C$3</f>
        <v>46.5</v>
      </c>
      <c r="L127" s="74">
        <f t="shared" si="91"/>
        <v>89.28</v>
      </c>
      <c r="M127" s="74">
        <f t="shared" si="92"/>
        <v>848.3832000000001</v>
      </c>
      <c r="N127" s="74">
        <f>(36*12)*(0.1)</f>
        <v>43.2</v>
      </c>
      <c r="O127" s="74">
        <f t="shared" si="93"/>
        <v>410.5080000000001</v>
      </c>
      <c r="P127" s="74">
        <f t="shared" si="94"/>
        <v>132.48000000000002</v>
      </c>
      <c r="Q127" s="58">
        <f t="shared" si="95"/>
        <v>1258.8912000000003</v>
      </c>
      <c r="R127" s="106"/>
      <c r="S127" s="106"/>
      <c r="T127" s="106"/>
      <c r="U127" s="106"/>
      <c r="V127" s="106"/>
      <c r="W127" s="106"/>
      <c r="X127" s="106"/>
      <c r="Y127" s="106"/>
      <c r="Z127" s="106"/>
      <c r="AA127" s="106"/>
      <c r="AB127" s="106"/>
      <c r="AC127" s="106"/>
      <c r="AD127" s="106"/>
      <c r="AE127" s="106"/>
      <c r="AF127" s="106"/>
      <c r="AG127" s="106"/>
      <c r="AH127" s="106"/>
      <c r="AI127" s="106"/>
      <c r="AJ127" s="106"/>
    </row>
    <row r="128" spans="1:36" s="99" customFormat="1">
      <c r="A128" s="65">
        <f>IF(F128&lt;&gt;"",1+MAX($A$2:A127),"")</f>
        <v>103</v>
      </c>
      <c r="B128" s="56"/>
      <c r="C128" s="107"/>
      <c r="D128" s="57" t="s">
        <v>142</v>
      </c>
      <c r="E128" s="81">
        <v>11.91</v>
      </c>
      <c r="F128" s="108">
        <v>0.05</v>
      </c>
      <c r="G128" s="109">
        <f t="shared" si="97"/>
        <v>12.505500000000001</v>
      </c>
      <c r="H128" s="79" t="s">
        <v>99</v>
      </c>
      <c r="I128" s="71">
        <f>0.01*((10+8)*2)</f>
        <v>0.36</v>
      </c>
      <c r="J128" s="72">
        <f t="shared" si="90"/>
        <v>4.5019800000000005</v>
      </c>
      <c r="K128" s="73">
        <f>'LABOR SHEET'!C$3</f>
        <v>46.5</v>
      </c>
      <c r="L128" s="74">
        <f t="shared" si="91"/>
        <v>16.739999999999998</v>
      </c>
      <c r="M128" s="74">
        <f t="shared" si="92"/>
        <v>209.34207000000004</v>
      </c>
      <c r="N128" s="74">
        <f>(10*8)*(0.1)</f>
        <v>8</v>
      </c>
      <c r="O128" s="74">
        <f t="shared" si="93"/>
        <v>100.04400000000001</v>
      </c>
      <c r="P128" s="74">
        <f t="shared" si="94"/>
        <v>24.74</v>
      </c>
      <c r="Q128" s="58">
        <f t="shared" si="95"/>
        <v>309.38607000000002</v>
      </c>
      <c r="R128" s="106"/>
      <c r="S128" s="106"/>
      <c r="T128" s="106"/>
      <c r="U128" s="106"/>
      <c r="V128" s="106"/>
      <c r="W128" s="106"/>
      <c r="X128" s="106"/>
      <c r="Y128" s="106"/>
      <c r="Z128" s="106"/>
      <c r="AA128" s="106"/>
      <c r="AB128" s="106"/>
      <c r="AC128" s="106"/>
      <c r="AD128" s="106"/>
      <c r="AE128" s="106"/>
      <c r="AF128" s="106"/>
      <c r="AG128" s="106"/>
      <c r="AH128" s="106"/>
      <c r="AI128" s="106"/>
      <c r="AJ128" s="106"/>
    </row>
    <row r="129" spans="1:36" s="99" customFormat="1">
      <c r="A129" s="77" t="str">
        <f>IF(F129&lt;&gt;"",1+MAX($A$2:A128),"")</f>
        <v/>
      </c>
      <c r="B129" s="56"/>
      <c r="C129" s="107"/>
      <c r="D129" s="57"/>
      <c r="E129" s="81"/>
      <c r="F129" s="108"/>
      <c r="G129" s="109"/>
      <c r="H129" s="79"/>
      <c r="I129" s="71"/>
      <c r="J129" s="72"/>
      <c r="K129" s="73"/>
      <c r="L129" s="74"/>
      <c r="M129" s="74"/>
      <c r="N129" s="74"/>
      <c r="O129" s="74"/>
      <c r="P129" s="74"/>
      <c r="Q129" s="58"/>
      <c r="R129" s="106"/>
      <c r="S129" s="106"/>
      <c r="T129" s="106"/>
      <c r="U129" s="106"/>
      <c r="V129" s="106"/>
      <c r="W129" s="106"/>
      <c r="X129" s="106"/>
      <c r="Y129" s="106"/>
      <c r="Z129" s="106"/>
      <c r="AA129" s="106"/>
      <c r="AB129" s="106"/>
      <c r="AC129" s="106"/>
      <c r="AD129" s="106"/>
      <c r="AE129" s="106"/>
      <c r="AF129" s="106"/>
      <c r="AG129" s="106"/>
      <c r="AH129" s="106"/>
      <c r="AI129" s="106"/>
      <c r="AJ129" s="106"/>
    </row>
    <row r="130" spans="1:36" s="99" customFormat="1" ht="46.8">
      <c r="A130" s="65" t="str">
        <f>IF(F130&lt;&gt;"",1+MAX($A$2:A129),"")</f>
        <v/>
      </c>
      <c r="B130" s="56"/>
      <c r="C130" s="107"/>
      <c r="D130" s="59" t="s">
        <v>143</v>
      </c>
      <c r="E130" s="81"/>
      <c r="F130" s="108"/>
      <c r="G130" s="109"/>
      <c r="H130" s="79"/>
      <c r="I130" s="71"/>
      <c r="J130" s="72"/>
      <c r="K130" s="73"/>
      <c r="L130" s="74"/>
      <c r="M130" s="74"/>
      <c r="N130" s="74"/>
      <c r="O130" s="74"/>
      <c r="P130" s="74"/>
      <c r="Q130" s="58"/>
      <c r="R130" s="106"/>
      <c r="S130" s="106"/>
      <c r="T130" s="106"/>
      <c r="U130" s="106"/>
      <c r="V130" s="106"/>
      <c r="W130" s="106"/>
      <c r="X130" s="106"/>
      <c r="Y130" s="106"/>
      <c r="Z130" s="106"/>
      <c r="AA130" s="106"/>
      <c r="AB130" s="106"/>
      <c r="AC130" s="106"/>
      <c r="AD130" s="106"/>
      <c r="AE130" s="106"/>
      <c r="AF130" s="106"/>
      <c r="AG130" s="106"/>
      <c r="AH130" s="106"/>
      <c r="AI130" s="106"/>
      <c r="AJ130" s="106"/>
    </row>
    <row r="131" spans="1:36" s="99" customFormat="1">
      <c r="A131" s="77">
        <f>IF(F131&lt;&gt;"",1+MAX($A$2:A130),"")</f>
        <v>104</v>
      </c>
      <c r="B131" s="56"/>
      <c r="C131" s="107"/>
      <c r="D131" s="57" t="s">
        <v>144</v>
      </c>
      <c r="E131" s="81">
        <v>107.45</v>
      </c>
      <c r="F131" s="108">
        <v>0.05</v>
      </c>
      <c r="G131" s="109">
        <f>E131*(1+F131)</f>
        <v>112.82250000000001</v>
      </c>
      <c r="H131" s="79" t="s">
        <v>99</v>
      </c>
      <c r="I131" s="71">
        <v>0.1</v>
      </c>
      <c r="J131" s="72">
        <f t="shared" ref="J131:J140" si="98">+I131*G131</f>
        <v>11.282250000000001</v>
      </c>
      <c r="K131" s="73">
        <f>'LABOR SHEET'!C$3</f>
        <v>46.5</v>
      </c>
      <c r="L131" s="74">
        <f t="shared" ref="L131:L140" si="99">I131*K131</f>
        <v>4.6500000000000004</v>
      </c>
      <c r="M131" s="74">
        <f t="shared" ref="M131:M140" si="100">K131*J131</f>
        <v>524.62462500000004</v>
      </c>
      <c r="N131" s="74">
        <v>6.5</v>
      </c>
      <c r="O131" s="74">
        <f t="shared" ref="O131:O140" si="101">N131*G131</f>
        <v>733.34625000000005</v>
      </c>
      <c r="P131" s="74">
        <f t="shared" ref="P131:P140" si="102">(I131*K131)+N131</f>
        <v>11.15</v>
      </c>
      <c r="Q131" s="58">
        <f t="shared" ref="Q131:Q140" si="103">P131*G131</f>
        <v>1257.9708750000002</v>
      </c>
      <c r="R131" s="192"/>
      <c r="S131" s="106"/>
      <c r="T131" s="106"/>
      <c r="U131" s="106"/>
      <c r="V131" s="106"/>
      <c r="W131" s="106"/>
      <c r="X131" s="106"/>
      <c r="Y131" s="106"/>
      <c r="Z131" s="106"/>
      <c r="AA131" s="106"/>
      <c r="AB131" s="106"/>
      <c r="AC131" s="106"/>
      <c r="AD131" s="106"/>
      <c r="AE131" s="106"/>
      <c r="AF131" s="106"/>
      <c r="AG131" s="106"/>
      <c r="AH131" s="106"/>
      <c r="AI131" s="106"/>
      <c r="AJ131" s="106"/>
    </row>
    <row r="132" spans="1:36" s="99" customFormat="1">
      <c r="A132" s="65">
        <f>IF(F132&lt;&gt;"",1+MAX($A$2:A131),"")</f>
        <v>105</v>
      </c>
      <c r="B132" s="56"/>
      <c r="C132" s="107"/>
      <c r="D132" s="57" t="s">
        <v>145</v>
      </c>
      <c r="E132" s="81">
        <v>7.51</v>
      </c>
      <c r="F132" s="108">
        <v>0.05</v>
      </c>
      <c r="G132" s="109">
        <f t="shared" ref="G132:G140" si="104">E132*(1+F132)</f>
        <v>7.8855000000000004</v>
      </c>
      <c r="H132" s="79" t="s">
        <v>99</v>
      </c>
      <c r="I132" s="71">
        <v>0.13</v>
      </c>
      <c r="J132" s="72">
        <f t="shared" si="98"/>
        <v>1.025115</v>
      </c>
      <c r="K132" s="73">
        <f>'LABOR SHEET'!C$3</f>
        <v>46.5</v>
      </c>
      <c r="L132" s="74">
        <f t="shared" si="99"/>
        <v>6.0449999999999999</v>
      </c>
      <c r="M132" s="74">
        <f t="shared" si="100"/>
        <v>47.667847500000001</v>
      </c>
      <c r="N132" s="74">
        <v>7</v>
      </c>
      <c r="O132" s="74">
        <f t="shared" si="101"/>
        <v>55.198500000000003</v>
      </c>
      <c r="P132" s="74">
        <f t="shared" si="102"/>
        <v>13.045</v>
      </c>
      <c r="Q132" s="58">
        <f t="shared" si="103"/>
        <v>102.8663475</v>
      </c>
      <c r="R132" s="192"/>
      <c r="S132" s="106"/>
      <c r="T132" s="106"/>
      <c r="U132" s="106"/>
      <c r="V132" s="106"/>
      <c r="W132" s="106"/>
      <c r="X132" s="106"/>
      <c r="Y132" s="106"/>
      <c r="Z132" s="106"/>
      <c r="AA132" s="106"/>
      <c r="AB132" s="106"/>
      <c r="AC132" s="106"/>
      <c r="AD132" s="106"/>
      <c r="AE132" s="106"/>
      <c r="AF132" s="106"/>
      <c r="AG132" s="106"/>
      <c r="AH132" s="106"/>
      <c r="AI132" s="106"/>
      <c r="AJ132" s="106"/>
    </row>
    <row r="133" spans="1:36" s="99" customFormat="1">
      <c r="A133" s="77">
        <f>IF(F133&lt;&gt;"",1+MAX($A$2:A132),"")</f>
        <v>106</v>
      </c>
      <c r="B133" s="56"/>
      <c r="C133" s="107"/>
      <c r="D133" s="57" t="s">
        <v>146</v>
      </c>
      <c r="E133" s="81">
        <v>47.35</v>
      </c>
      <c r="F133" s="108">
        <v>0.05</v>
      </c>
      <c r="G133" s="109">
        <f t="shared" si="104"/>
        <v>49.717500000000001</v>
      </c>
      <c r="H133" s="79" t="s">
        <v>99</v>
      </c>
      <c r="I133" s="71">
        <v>0.16</v>
      </c>
      <c r="J133" s="72">
        <f t="shared" si="98"/>
        <v>7.9548000000000005</v>
      </c>
      <c r="K133" s="73">
        <f>'LABOR SHEET'!C$3</f>
        <v>46.5</v>
      </c>
      <c r="L133" s="74">
        <f t="shared" si="99"/>
        <v>7.44</v>
      </c>
      <c r="M133" s="74">
        <f t="shared" si="100"/>
        <v>369.89820000000003</v>
      </c>
      <c r="N133" s="74">
        <v>7.25</v>
      </c>
      <c r="O133" s="74">
        <f t="shared" si="101"/>
        <v>360.45187500000003</v>
      </c>
      <c r="P133" s="74">
        <f t="shared" si="102"/>
        <v>14.690000000000001</v>
      </c>
      <c r="Q133" s="58">
        <f t="shared" si="103"/>
        <v>730.35007500000006</v>
      </c>
      <c r="R133" s="192"/>
      <c r="S133" s="106"/>
      <c r="T133" s="106"/>
      <c r="U133" s="106"/>
      <c r="V133" s="106"/>
      <c r="W133" s="106"/>
      <c r="X133" s="106"/>
      <c r="Y133" s="106"/>
      <c r="Z133" s="106"/>
      <c r="AA133" s="106"/>
      <c r="AB133" s="106"/>
      <c r="AC133" s="106"/>
      <c r="AD133" s="106"/>
      <c r="AE133" s="106"/>
      <c r="AF133" s="106"/>
      <c r="AG133" s="106"/>
      <c r="AH133" s="106"/>
      <c r="AI133" s="106"/>
      <c r="AJ133" s="106"/>
    </row>
    <row r="134" spans="1:36" s="99" customFormat="1">
      <c r="A134" s="65">
        <f>IF(F134&lt;&gt;"",1+MAX($A$2:A133),"")</f>
        <v>107</v>
      </c>
      <c r="B134" s="56"/>
      <c r="C134" s="107"/>
      <c r="D134" s="57" t="s">
        <v>147</v>
      </c>
      <c r="E134" s="81">
        <v>82.36</v>
      </c>
      <c r="F134" s="108">
        <v>0.05</v>
      </c>
      <c r="G134" s="109">
        <f t="shared" si="104"/>
        <v>86.478000000000009</v>
      </c>
      <c r="H134" s="79" t="s">
        <v>99</v>
      </c>
      <c r="I134" s="71">
        <v>0.19</v>
      </c>
      <c r="J134" s="72">
        <f t="shared" si="98"/>
        <v>16.430820000000001</v>
      </c>
      <c r="K134" s="73">
        <f>'LABOR SHEET'!C$3</f>
        <v>46.5</v>
      </c>
      <c r="L134" s="74">
        <f t="shared" si="99"/>
        <v>8.8350000000000009</v>
      </c>
      <c r="M134" s="74">
        <f t="shared" si="100"/>
        <v>764.03313000000003</v>
      </c>
      <c r="N134" s="74">
        <v>7.5</v>
      </c>
      <c r="O134" s="74">
        <f t="shared" si="101"/>
        <v>648.58500000000004</v>
      </c>
      <c r="P134" s="74">
        <f t="shared" si="102"/>
        <v>16.335000000000001</v>
      </c>
      <c r="Q134" s="58">
        <f t="shared" si="103"/>
        <v>1412.6181300000003</v>
      </c>
      <c r="R134" s="192"/>
      <c r="S134" s="106"/>
      <c r="T134" s="106"/>
      <c r="U134" s="106"/>
      <c r="V134" s="106"/>
      <c r="W134" s="106"/>
      <c r="X134" s="106"/>
      <c r="Y134" s="106"/>
      <c r="Z134" s="106"/>
      <c r="AA134" s="106"/>
      <c r="AB134" s="106"/>
      <c r="AC134" s="106"/>
      <c r="AD134" s="106"/>
      <c r="AE134" s="106"/>
      <c r="AF134" s="106"/>
      <c r="AG134" s="106"/>
      <c r="AH134" s="106"/>
      <c r="AI134" s="106"/>
      <c r="AJ134" s="106"/>
    </row>
    <row r="135" spans="1:36" s="99" customFormat="1">
      <c r="A135" s="77">
        <f>IF(F135&lt;&gt;"",1+MAX($A$2:A134),"")</f>
        <v>108</v>
      </c>
      <c r="B135" s="56"/>
      <c r="C135" s="107"/>
      <c r="D135" s="57" t="s">
        <v>148</v>
      </c>
      <c r="E135" s="81">
        <v>152.72999999999999</v>
      </c>
      <c r="F135" s="108">
        <v>0.05</v>
      </c>
      <c r="G135" s="109">
        <f t="shared" si="104"/>
        <v>160.3665</v>
      </c>
      <c r="H135" s="79" t="s">
        <v>99</v>
      </c>
      <c r="I135" s="71">
        <v>0.21</v>
      </c>
      <c r="J135" s="72">
        <f t="shared" si="98"/>
        <v>33.676965000000003</v>
      </c>
      <c r="K135" s="73">
        <f>'LABOR SHEET'!C$3</f>
        <v>46.5</v>
      </c>
      <c r="L135" s="74">
        <f t="shared" si="99"/>
        <v>9.7649999999999988</v>
      </c>
      <c r="M135" s="74">
        <f t="shared" si="100"/>
        <v>1565.9788725000001</v>
      </c>
      <c r="N135" s="74">
        <v>7.75</v>
      </c>
      <c r="O135" s="74">
        <f t="shared" si="101"/>
        <v>1242.840375</v>
      </c>
      <c r="P135" s="74">
        <f t="shared" si="102"/>
        <v>17.515000000000001</v>
      </c>
      <c r="Q135" s="58">
        <f t="shared" si="103"/>
        <v>2808.8192475000001</v>
      </c>
      <c r="R135" s="192"/>
      <c r="S135" s="106"/>
      <c r="T135" s="106"/>
      <c r="U135" s="106"/>
      <c r="V135" s="106"/>
      <c r="W135" s="106"/>
      <c r="X135" s="106"/>
      <c r="Y135" s="106"/>
      <c r="Z135" s="106"/>
      <c r="AA135" s="106"/>
      <c r="AB135" s="106"/>
      <c r="AC135" s="106"/>
      <c r="AD135" s="106"/>
      <c r="AE135" s="106"/>
      <c r="AF135" s="106"/>
      <c r="AG135" s="106"/>
      <c r="AH135" s="106"/>
      <c r="AI135" s="106"/>
      <c r="AJ135" s="106"/>
    </row>
    <row r="136" spans="1:36" s="99" customFormat="1">
      <c r="A136" s="65">
        <f>IF(F136&lt;&gt;"",1+MAX($A$2:A135),"")</f>
        <v>109</v>
      </c>
      <c r="B136" s="56"/>
      <c r="C136" s="107"/>
      <c r="D136" s="57" t="s">
        <v>149</v>
      </c>
      <c r="E136" s="81">
        <v>29.87</v>
      </c>
      <c r="F136" s="108">
        <v>0.05</v>
      </c>
      <c r="G136" s="109">
        <f t="shared" si="104"/>
        <v>31.363500000000002</v>
      </c>
      <c r="H136" s="79" t="s">
        <v>99</v>
      </c>
      <c r="I136" s="71">
        <v>0.24</v>
      </c>
      <c r="J136" s="72">
        <f t="shared" si="98"/>
        <v>7.5272399999999999</v>
      </c>
      <c r="K136" s="73">
        <f>'LABOR SHEET'!C$3</f>
        <v>46.5</v>
      </c>
      <c r="L136" s="74">
        <f t="shared" si="99"/>
        <v>11.16</v>
      </c>
      <c r="M136" s="74">
        <f t="shared" si="100"/>
        <v>350.01666</v>
      </c>
      <c r="N136" s="74">
        <v>8</v>
      </c>
      <c r="O136" s="74">
        <f t="shared" si="101"/>
        <v>250.90800000000002</v>
      </c>
      <c r="P136" s="74">
        <f t="shared" si="102"/>
        <v>19.16</v>
      </c>
      <c r="Q136" s="58">
        <f t="shared" si="103"/>
        <v>600.92466000000002</v>
      </c>
      <c r="R136" s="192"/>
      <c r="S136" s="106"/>
      <c r="T136" s="106"/>
      <c r="U136" s="106"/>
      <c r="V136" s="106"/>
      <c r="W136" s="106"/>
      <c r="X136" s="106"/>
      <c r="Y136" s="106"/>
      <c r="Z136" s="106"/>
      <c r="AA136" s="106"/>
      <c r="AB136" s="106"/>
      <c r="AC136" s="106"/>
      <c r="AD136" s="106"/>
      <c r="AE136" s="106"/>
      <c r="AF136" s="106"/>
      <c r="AG136" s="106"/>
      <c r="AH136" s="106"/>
      <c r="AI136" s="106"/>
      <c r="AJ136" s="106"/>
    </row>
    <row r="137" spans="1:36" s="99" customFormat="1">
      <c r="A137" s="77">
        <f>IF(F137&lt;&gt;"",1+MAX($A$2:A136),"")</f>
        <v>110</v>
      </c>
      <c r="B137" s="56"/>
      <c r="C137" s="107"/>
      <c r="D137" s="57" t="s">
        <v>150</v>
      </c>
      <c r="E137" s="81">
        <v>53.76</v>
      </c>
      <c r="F137" s="108">
        <v>0.05</v>
      </c>
      <c r="G137" s="109">
        <f t="shared" si="104"/>
        <v>56.448</v>
      </c>
      <c r="H137" s="79" t="s">
        <v>99</v>
      </c>
      <c r="I137" s="71">
        <v>0.27</v>
      </c>
      <c r="J137" s="72">
        <f t="shared" si="98"/>
        <v>15.240960000000001</v>
      </c>
      <c r="K137" s="73">
        <f>'LABOR SHEET'!C$3</f>
        <v>46.5</v>
      </c>
      <c r="L137" s="74">
        <f t="shared" si="99"/>
        <v>12.555000000000001</v>
      </c>
      <c r="M137" s="74">
        <f t="shared" si="100"/>
        <v>708.70464000000004</v>
      </c>
      <c r="N137" s="74">
        <v>8.25</v>
      </c>
      <c r="O137" s="74">
        <f t="shared" si="101"/>
        <v>465.69600000000003</v>
      </c>
      <c r="P137" s="74">
        <f t="shared" si="102"/>
        <v>20.805</v>
      </c>
      <c r="Q137" s="58">
        <f t="shared" si="103"/>
        <v>1174.4006400000001</v>
      </c>
      <c r="R137" s="192"/>
      <c r="S137" s="106"/>
      <c r="T137" s="106"/>
      <c r="U137" s="106"/>
      <c r="V137" s="106"/>
      <c r="W137" s="106"/>
      <c r="X137" s="106"/>
      <c r="Y137" s="106"/>
      <c r="Z137" s="106"/>
      <c r="AA137" s="106"/>
      <c r="AB137" s="106"/>
      <c r="AC137" s="106"/>
      <c r="AD137" s="106"/>
      <c r="AE137" s="106"/>
      <c r="AF137" s="106"/>
      <c r="AG137" s="106"/>
      <c r="AH137" s="106"/>
      <c r="AI137" s="106"/>
      <c r="AJ137" s="106"/>
    </row>
    <row r="138" spans="1:36" s="99" customFormat="1">
      <c r="A138" s="65">
        <f>IF(F138&lt;&gt;"",1+MAX($A$2:A137),"")</f>
        <v>111</v>
      </c>
      <c r="B138" s="56"/>
      <c r="C138" s="107"/>
      <c r="D138" s="57" t="s">
        <v>151</v>
      </c>
      <c r="E138" s="81">
        <v>60.1</v>
      </c>
      <c r="F138" s="108">
        <v>0.05</v>
      </c>
      <c r="G138" s="109">
        <f t="shared" si="104"/>
        <v>63.105000000000004</v>
      </c>
      <c r="H138" s="79" t="s">
        <v>99</v>
      </c>
      <c r="I138" s="71">
        <v>0.3</v>
      </c>
      <c r="J138" s="72">
        <f t="shared" si="98"/>
        <v>18.9315</v>
      </c>
      <c r="K138" s="73">
        <f>'LABOR SHEET'!C$3</f>
        <v>46.5</v>
      </c>
      <c r="L138" s="74">
        <f t="shared" si="99"/>
        <v>13.95</v>
      </c>
      <c r="M138" s="74">
        <f t="shared" si="100"/>
        <v>880.31475</v>
      </c>
      <c r="N138" s="74">
        <v>8.5</v>
      </c>
      <c r="O138" s="74">
        <f t="shared" si="101"/>
        <v>536.39250000000004</v>
      </c>
      <c r="P138" s="74">
        <f t="shared" si="102"/>
        <v>22.45</v>
      </c>
      <c r="Q138" s="58">
        <f t="shared" si="103"/>
        <v>1416.7072499999999</v>
      </c>
      <c r="R138" s="192"/>
      <c r="S138" s="106"/>
      <c r="T138" s="106"/>
      <c r="U138" s="106"/>
      <c r="V138" s="106"/>
      <c r="W138" s="106"/>
      <c r="X138" s="106"/>
      <c r="Y138" s="106"/>
      <c r="Z138" s="106"/>
      <c r="AA138" s="106"/>
      <c r="AB138" s="106"/>
      <c r="AC138" s="106"/>
      <c r="AD138" s="106"/>
      <c r="AE138" s="106"/>
      <c r="AF138" s="106"/>
      <c r="AG138" s="106"/>
      <c r="AH138" s="106"/>
      <c r="AI138" s="106"/>
      <c r="AJ138" s="106"/>
    </row>
    <row r="139" spans="1:36" s="99" customFormat="1">
      <c r="A139" s="77">
        <f>IF(F139&lt;&gt;"",1+MAX($A$2:A138),"")</f>
        <v>112</v>
      </c>
      <c r="B139" s="56"/>
      <c r="C139" s="107"/>
      <c r="D139" s="57" t="s">
        <v>152</v>
      </c>
      <c r="E139" s="81">
        <v>8.1999999999999993</v>
      </c>
      <c r="F139" s="108">
        <v>0.05</v>
      </c>
      <c r="G139" s="109">
        <f t="shared" si="104"/>
        <v>8.61</v>
      </c>
      <c r="H139" s="79" t="s">
        <v>99</v>
      </c>
      <c r="I139" s="71">
        <v>0.33</v>
      </c>
      <c r="J139" s="72">
        <f t="shared" si="98"/>
        <v>2.8412999999999999</v>
      </c>
      <c r="K139" s="73">
        <f>'LABOR SHEET'!C$3</f>
        <v>46.5</v>
      </c>
      <c r="L139" s="74">
        <f t="shared" si="99"/>
        <v>15.345000000000001</v>
      </c>
      <c r="M139" s="74">
        <f t="shared" si="100"/>
        <v>132.12045000000001</v>
      </c>
      <c r="N139" s="74">
        <v>9</v>
      </c>
      <c r="O139" s="74">
        <f t="shared" si="101"/>
        <v>77.489999999999995</v>
      </c>
      <c r="P139" s="74">
        <f t="shared" si="102"/>
        <v>24.344999999999999</v>
      </c>
      <c r="Q139" s="58">
        <f t="shared" si="103"/>
        <v>209.61044999999999</v>
      </c>
      <c r="R139" s="192"/>
      <c r="S139" s="106"/>
      <c r="T139" s="106"/>
      <c r="U139" s="106"/>
      <c r="V139" s="106"/>
      <c r="W139" s="106"/>
      <c r="X139" s="106"/>
      <c r="Y139" s="106"/>
      <c r="Z139" s="106"/>
      <c r="AA139" s="106"/>
      <c r="AB139" s="106"/>
      <c r="AC139" s="106"/>
      <c r="AD139" s="106"/>
      <c r="AE139" s="106"/>
      <c r="AF139" s="106"/>
      <c r="AG139" s="106"/>
      <c r="AH139" s="106"/>
      <c r="AI139" s="106"/>
      <c r="AJ139" s="106"/>
    </row>
    <row r="140" spans="1:36" s="99" customFormat="1">
      <c r="A140" s="65">
        <f>IF(F140&lt;&gt;"",1+MAX($A$2:A139),"")</f>
        <v>113</v>
      </c>
      <c r="B140" s="56"/>
      <c r="C140" s="107"/>
      <c r="D140" s="57" t="s">
        <v>153</v>
      </c>
      <c r="E140" s="81">
        <v>84.21</v>
      </c>
      <c r="F140" s="108">
        <v>0.05</v>
      </c>
      <c r="G140" s="109">
        <f t="shared" si="104"/>
        <v>88.420500000000004</v>
      </c>
      <c r="H140" s="79" t="s">
        <v>99</v>
      </c>
      <c r="I140" s="71">
        <v>0.35</v>
      </c>
      <c r="J140" s="72">
        <f t="shared" si="98"/>
        <v>30.947174999999998</v>
      </c>
      <c r="K140" s="73">
        <f>'LABOR SHEET'!C$3</f>
        <v>46.5</v>
      </c>
      <c r="L140" s="74">
        <f t="shared" si="99"/>
        <v>16.274999999999999</v>
      </c>
      <c r="M140" s="74">
        <f t="shared" si="100"/>
        <v>1439.0436374999999</v>
      </c>
      <c r="N140" s="74">
        <v>9.25</v>
      </c>
      <c r="O140" s="74">
        <f t="shared" si="101"/>
        <v>817.88962500000002</v>
      </c>
      <c r="P140" s="74">
        <f t="shared" si="102"/>
        <v>25.524999999999999</v>
      </c>
      <c r="Q140" s="58">
        <f t="shared" si="103"/>
        <v>2256.9332625000002</v>
      </c>
      <c r="R140" s="192"/>
      <c r="S140" s="106"/>
      <c r="T140" s="106"/>
      <c r="U140" s="106"/>
      <c r="V140" s="106"/>
      <c r="W140" s="106"/>
      <c r="X140" s="106"/>
      <c r="Y140" s="106"/>
      <c r="Z140" s="106"/>
      <c r="AA140" s="106"/>
      <c r="AB140" s="106"/>
      <c r="AC140" s="106"/>
      <c r="AD140" s="106"/>
      <c r="AE140" s="106"/>
      <c r="AF140" s="106"/>
      <c r="AG140" s="106"/>
      <c r="AH140" s="106"/>
      <c r="AI140" s="106"/>
      <c r="AJ140" s="106"/>
    </row>
    <row r="141" spans="1:36" s="99" customFormat="1">
      <c r="A141" s="77" t="str">
        <f>IF(F141&lt;&gt;"",1+MAX($A$2:A140),"")</f>
        <v/>
      </c>
      <c r="B141" s="56"/>
      <c r="C141" s="107"/>
      <c r="D141" s="57"/>
      <c r="E141" s="81"/>
      <c r="F141" s="108"/>
      <c r="G141" s="109"/>
      <c r="H141" s="79"/>
      <c r="I141" s="71"/>
      <c r="J141" s="72"/>
      <c r="K141" s="73"/>
      <c r="L141" s="74"/>
      <c r="M141" s="74"/>
      <c r="N141" s="74"/>
      <c r="O141" s="74"/>
      <c r="P141" s="74"/>
      <c r="Q141" s="58"/>
      <c r="R141" s="106"/>
      <c r="S141" s="106"/>
      <c r="T141" s="106"/>
      <c r="U141" s="106"/>
      <c r="V141" s="106"/>
      <c r="W141" s="106"/>
      <c r="X141" s="106"/>
      <c r="Y141" s="106"/>
      <c r="Z141" s="106"/>
      <c r="AA141" s="106"/>
      <c r="AB141" s="106"/>
      <c r="AC141" s="106"/>
      <c r="AD141" s="106"/>
      <c r="AE141" s="106"/>
      <c r="AF141" s="106"/>
      <c r="AG141" s="106"/>
      <c r="AH141" s="106"/>
      <c r="AI141" s="106"/>
      <c r="AJ141" s="106"/>
    </row>
    <row r="142" spans="1:36" s="99" customFormat="1">
      <c r="A142" s="65" t="str">
        <f>IF(F142&lt;&gt;"",1+MAX($A$2:A141),"")</f>
        <v/>
      </c>
      <c r="B142" s="56"/>
      <c r="C142" s="107"/>
      <c r="D142" s="59" t="s">
        <v>113</v>
      </c>
      <c r="E142" s="81"/>
      <c r="F142" s="108"/>
      <c r="G142" s="109"/>
      <c r="H142" s="79"/>
      <c r="I142" s="71"/>
      <c r="J142" s="72"/>
      <c r="K142" s="73"/>
      <c r="L142" s="74"/>
      <c r="M142" s="74"/>
      <c r="N142" s="74"/>
      <c r="O142" s="74"/>
      <c r="P142" s="74"/>
      <c r="Q142" s="58"/>
      <c r="R142" s="106"/>
      <c r="S142" s="106"/>
      <c r="T142" s="106"/>
      <c r="U142" s="106"/>
      <c r="V142" s="106"/>
      <c r="W142" s="106"/>
      <c r="X142" s="106"/>
      <c r="Y142" s="106"/>
      <c r="Z142" s="106"/>
      <c r="AA142" s="106"/>
      <c r="AB142" s="106"/>
      <c r="AC142" s="106"/>
      <c r="AD142" s="106"/>
      <c r="AE142" s="106"/>
      <c r="AF142" s="106"/>
      <c r="AG142" s="106"/>
      <c r="AH142" s="106"/>
      <c r="AI142" s="106"/>
      <c r="AJ142" s="106"/>
    </row>
    <row r="143" spans="1:36" s="99" customFormat="1">
      <c r="A143" s="77">
        <f>IF(F143&lt;&gt;"",1+MAX($A$2:A142),"")</f>
        <v>114</v>
      </c>
      <c r="B143" s="56"/>
      <c r="C143" s="107"/>
      <c r="D143" s="57" t="s">
        <v>154</v>
      </c>
      <c r="E143" s="81">
        <v>32.700000000000003</v>
      </c>
      <c r="F143" s="108">
        <v>0.05</v>
      </c>
      <c r="G143" s="109">
        <f>E143*(1+F143)</f>
        <v>34.335000000000008</v>
      </c>
      <c r="H143" s="79" t="s">
        <v>99</v>
      </c>
      <c r="I143" s="71">
        <v>0.23499999999999999</v>
      </c>
      <c r="J143" s="72">
        <f t="shared" ref="J143:J152" si="105">+I143*G143</f>
        <v>8.0687250000000006</v>
      </c>
      <c r="K143" s="73">
        <f>'LABOR SHEET'!C$3</f>
        <v>46.5</v>
      </c>
      <c r="L143" s="74">
        <f t="shared" ref="L143:L152" si="106">I143*K143</f>
        <v>10.9275</v>
      </c>
      <c r="M143" s="74">
        <f t="shared" ref="M143:M152" si="107">K143*J143</f>
        <v>375.19571250000001</v>
      </c>
      <c r="N143" s="74">
        <v>5.66</v>
      </c>
      <c r="O143" s="74">
        <f t="shared" ref="O143:O152" si="108">N143*G143</f>
        <v>194.33610000000004</v>
      </c>
      <c r="P143" s="74">
        <f t="shared" ref="P143:P152" si="109">(I143*K143)+N143</f>
        <v>16.587499999999999</v>
      </c>
      <c r="Q143" s="58">
        <f t="shared" ref="Q143:Q152" si="110">P143*G143</f>
        <v>569.53181250000011</v>
      </c>
      <c r="R143" s="106"/>
      <c r="S143" s="106"/>
      <c r="T143" s="106"/>
      <c r="U143" s="106"/>
      <c r="V143" s="106"/>
      <c r="W143" s="106"/>
      <c r="X143" s="106"/>
      <c r="Y143" s="106"/>
      <c r="Z143" s="106"/>
      <c r="AA143" s="106"/>
      <c r="AB143" s="106"/>
      <c r="AC143" s="106"/>
      <c r="AD143" s="106"/>
      <c r="AE143" s="106"/>
      <c r="AF143" s="106"/>
      <c r="AG143" s="106"/>
      <c r="AH143" s="106"/>
      <c r="AI143" s="106"/>
      <c r="AJ143" s="106"/>
    </row>
    <row r="144" spans="1:36" s="99" customFormat="1">
      <c r="A144" s="65">
        <f>IF(F144&lt;&gt;"",1+MAX($A$2:A143),"")</f>
        <v>115</v>
      </c>
      <c r="B144" s="56"/>
      <c r="C144" s="107"/>
      <c r="D144" s="57" t="s">
        <v>155</v>
      </c>
      <c r="E144" s="81">
        <v>8.23</v>
      </c>
      <c r="F144" s="108">
        <v>0.05</v>
      </c>
      <c r="G144" s="109">
        <f t="shared" ref="G144:G147" si="111">E144*(1+F144)</f>
        <v>8.6415000000000006</v>
      </c>
      <c r="H144" s="79" t="s">
        <v>99</v>
      </c>
      <c r="I144" s="71">
        <v>0.26200000000000001</v>
      </c>
      <c r="J144" s="72">
        <f t="shared" si="105"/>
        <v>2.2640730000000002</v>
      </c>
      <c r="K144" s="73">
        <f>'LABOR SHEET'!C$3</f>
        <v>46.5</v>
      </c>
      <c r="L144" s="74">
        <f t="shared" si="106"/>
        <v>12.183</v>
      </c>
      <c r="M144" s="74">
        <f t="shared" si="107"/>
        <v>105.27939450000001</v>
      </c>
      <c r="N144" s="74">
        <v>7.9</v>
      </c>
      <c r="O144" s="74">
        <f t="shared" si="108"/>
        <v>68.26785000000001</v>
      </c>
      <c r="P144" s="74">
        <f t="shared" si="109"/>
        <v>20.082999999999998</v>
      </c>
      <c r="Q144" s="58">
        <f t="shared" si="110"/>
        <v>173.54724450000001</v>
      </c>
      <c r="R144" s="106"/>
      <c r="S144" s="106"/>
      <c r="T144" s="106"/>
      <c r="U144" s="106"/>
      <c r="V144" s="106"/>
      <c r="W144" s="106"/>
      <c r="X144" s="106"/>
      <c r="Y144" s="106"/>
      <c r="Z144" s="106"/>
      <c r="AA144" s="106"/>
      <c r="AB144" s="106"/>
      <c r="AC144" s="106"/>
      <c r="AD144" s="106"/>
      <c r="AE144" s="106"/>
      <c r="AF144" s="106"/>
      <c r="AG144" s="106"/>
      <c r="AH144" s="106"/>
      <c r="AI144" s="106"/>
      <c r="AJ144" s="106"/>
    </row>
    <row r="145" spans="1:36" s="99" customFormat="1">
      <c r="A145" s="77">
        <f>IF(F145&lt;&gt;"",1+MAX($A$2:A144),"")</f>
        <v>116</v>
      </c>
      <c r="B145" s="56"/>
      <c r="C145" s="107"/>
      <c r="D145" s="57" t="s">
        <v>156</v>
      </c>
      <c r="E145" s="81">
        <v>12.75</v>
      </c>
      <c r="F145" s="108">
        <v>0.05</v>
      </c>
      <c r="G145" s="109">
        <f t="shared" si="111"/>
        <v>13.387500000000001</v>
      </c>
      <c r="H145" s="79" t="s">
        <v>99</v>
      </c>
      <c r="I145" s="71">
        <v>0.29099999999999998</v>
      </c>
      <c r="J145" s="72">
        <f t="shared" si="105"/>
        <v>3.8957625</v>
      </c>
      <c r="K145" s="73">
        <f>'LABOR SHEET'!C$3</f>
        <v>46.5</v>
      </c>
      <c r="L145" s="74">
        <f t="shared" si="106"/>
        <v>13.531499999999999</v>
      </c>
      <c r="M145" s="74">
        <f t="shared" si="107"/>
        <v>181.15295624999999</v>
      </c>
      <c r="N145" s="74">
        <v>11.04</v>
      </c>
      <c r="O145" s="74">
        <f t="shared" si="108"/>
        <v>147.798</v>
      </c>
      <c r="P145" s="74">
        <f t="shared" si="109"/>
        <v>24.5715</v>
      </c>
      <c r="Q145" s="58">
        <f t="shared" si="110"/>
        <v>328.95095625000005</v>
      </c>
      <c r="R145" s="106"/>
      <c r="S145" s="106"/>
      <c r="T145" s="106"/>
      <c r="U145" s="106"/>
      <c r="V145" s="106"/>
      <c r="W145" s="106"/>
      <c r="X145" s="106"/>
      <c r="Y145" s="106"/>
      <c r="Z145" s="106"/>
      <c r="AA145" s="106"/>
      <c r="AB145" s="106"/>
      <c r="AC145" s="106"/>
      <c r="AD145" s="106"/>
      <c r="AE145" s="106"/>
      <c r="AF145" s="106"/>
      <c r="AG145" s="106"/>
      <c r="AH145" s="106"/>
      <c r="AI145" s="106"/>
      <c r="AJ145" s="106"/>
    </row>
    <row r="146" spans="1:36" s="99" customFormat="1">
      <c r="A146" s="65">
        <f>IF(F146&lt;&gt;"",1+MAX($A$2:A145),"")</f>
        <v>117</v>
      </c>
      <c r="B146" s="56"/>
      <c r="C146" s="107"/>
      <c r="D146" s="57" t="s">
        <v>157</v>
      </c>
      <c r="E146" s="81">
        <v>11.48</v>
      </c>
      <c r="F146" s="108">
        <v>0.05</v>
      </c>
      <c r="G146" s="109">
        <f t="shared" si="111"/>
        <v>12.054</v>
      </c>
      <c r="H146" s="79" t="s">
        <v>99</v>
      </c>
      <c r="I146" s="71">
        <v>0.26200000000000001</v>
      </c>
      <c r="J146" s="72">
        <f t="shared" ref="J146:J147" si="112">+I146*G146</f>
        <v>3.1581480000000002</v>
      </c>
      <c r="K146" s="73">
        <f>'LABOR SHEET'!C$3</f>
        <v>46.5</v>
      </c>
      <c r="L146" s="74">
        <f t="shared" ref="L146:L147" si="113">I146*K146</f>
        <v>12.183</v>
      </c>
      <c r="M146" s="74">
        <f t="shared" ref="M146:M147" si="114">K146*J146</f>
        <v>146.853882</v>
      </c>
      <c r="N146" s="74">
        <v>7.9</v>
      </c>
      <c r="O146" s="74">
        <f t="shared" ref="O146:O147" si="115">N146*G146</f>
        <v>95.226600000000005</v>
      </c>
      <c r="P146" s="74">
        <f t="shared" ref="P146:P147" si="116">(I146*K146)+N146</f>
        <v>20.082999999999998</v>
      </c>
      <c r="Q146" s="58">
        <f t="shared" ref="Q146:Q147" si="117">P146*G146</f>
        <v>242.08048199999999</v>
      </c>
      <c r="R146" s="106"/>
      <c r="S146" s="106"/>
      <c r="T146" s="106"/>
      <c r="U146" s="106"/>
      <c r="V146" s="106"/>
      <c r="W146" s="106"/>
      <c r="X146" s="106"/>
      <c r="Y146" s="106"/>
      <c r="Z146" s="106"/>
      <c r="AA146" s="106"/>
      <c r="AB146" s="106"/>
      <c r="AC146" s="106"/>
      <c r="AD146" s="106"/>
      <c r="AE146" s="106"/>
      <c r="AF146" s="106"/>
      <c r="AG146" s="106"/>
      <c r="AH146" s="106"/>
      <c r="AI146" s="106"/>
      <c r="AJ146" s="106"/>
    </row>
    <row r="147" spans="1:36" s="99" customFormat="1">
      <c r="A147" s="77">
        <f>IF(F147&lt;&gt;"",1+MAX($A$2:A146),"")</f>
        <v>118</v>
      </c>
      <c r="B147" s="56"/>
      <c r="C147" s="107"/>
      <c r="D147" s="57" t="s">
        <v>158</v>
      </c>
      <c r="E147" s="81">
        <v>53.08</v>
      </c>
      <c r="F147" s="108">
        <v>0.05</v>
      </c>
      <c r="G147" s="109">
        <f t="shared" si="111"/>
        <v>55.734000000000002</v>
      </c>
      <c r="H147" s="79" t="s">
        <v>99</v>
      </c>
      <c r="I147" s="71">
        <v>0.29099999999999998</v>
      </c>
      <c r="J147" s="72">
        <f t="shared" si="112"/>
        <v>16.218594</v>
      </c>
      <c r="K147" s="73">
        <f>'LABOR SHEET'!C$3</f>
        <v>46.5</v>
      </c>
      <c r="L147" s="74">
        <f t="shared" si="113"/>
        <v>13.531499999999999</v>
      </c>
      <c r="M147" s="74">
        <f t="shared" si="114"/>
        <v>754.16462100000001</v>
      </c>
      <c r="N147" s="74">
        <v>11.04</v>
      </c>
      <c r="O147" s="74">
        <f t="shared" si="115"/>
        <v>615.30336</v>
      </c>
      <c r="P147" s="74">
        <f t="shared" si="116"/>
        <v>24.5715</v>
      </c>
      <c r="Q147" s="58">
        <f t="shared" si="117"/>
        <v>1369.467981</v>
      </c>
      <c r="R147" s="106"/>
      <c r="S147" s="106"/>
      <c r="T147" s="106"/>
      <c r="U147" s="106"/>
      <c r="V147" s="106"/>
      <c r="W147" s="106"/>
      <c r="X147" s="106"/>
      <c r="Y147" s="106"/>
      <c r="Z147" s="106"/>
      <c r="AA147" s="106"/>
      <c r="AB147" s="106"/>
      <c r="AC147" s="106"/>
      <c r="AD147" s="106"/>
      <c r="AE147" s="106"/>
      <c r="AF147" s="106"/>
      <c r="AG147" s="106"/>
      <c r="AH147" s="106"/>
      <c r="AI147" s="106"/>
      <c r="AJ147" s="106"/>
    </row>
    <row r="148" spans="1:36" s="99" customFormat="1">
      <c r="A148" s="65">
        <f>IF(F148&lt;&gt;"",1+MAX($A$2:A147),"")</f>
        <v>119</v>
      </c>
      <c r="B148" s="56"/>
      <c r="C148" s="107"/>
      <c r="D148" s="57" t="s">
        <v>159</v>
      </c>
      <c r="E148" s="81">
        <v>18.260000000000002</v>
      </c>
      <c r="F148" s="108">
        <v>0.05</v>
      </c>
      <c r="G148" s="109">
        <f t="shared" ref="G148:G151" si="118">E148*(1+F148)</f>
        <v>19.173000000000002</v>
      </c>
      <c r="H148" s="79" t="s">
        <v>99</v>
      </c>
      <c r="I148" s="71">
        <v>0.31</v>
      </c>
      <c r="J148" s="72">
        <f t="shared" si="105"/>
        <v>5.9436300000000006</v>
      </c>
      <c r="K148" s="73">
        <f>'LABOR SHEET'!C$3</f>
        <v>46.5</v>
      </c>
      <c r="L148" s="74">
        <f t="shared" si="106"/>
        <v>14.414999999999999</v>
      </c>
      <c r="M148" s="74">
        <f t="shared" si="107"/>
        <v>276.37879500000003</v>
      </c>
      <c r="N148" s="74">
        <v>13.35</v>
      </c>
      <c r="O148" s="74">
        <f t="shared" si="108"/>
        <v>255.95955000000001</v>
      </c>
      <c r="P148" s="74">
        <f t="shared" si="109"/>
        <v>27.765000000000001</v>
      </c>
      <c r="Q148" s="58">
        <f t="shared" si="110"/>
        <v>532.33834500000012</v>
      </c>
      <c r="R148" s="106"/>
      <c r="S148" s="106"/>
      <c r="T148" s="106"/>
      <c r="U148" s="106"/>
      <c r="V148" s="106"/>
      <c r="W148" s="106"/>
      <c r="X148" s="106"/>
      <c r="Y148" s="106"/>
      <c r="Z148" s="106"/>
      <c r="AA148" s="106"/>
      <c r="AB148" s="106"/>
      <c r="AC148" s="106"/>
      <c r="AD148" s="106"/>
      <c r="AE148" s="106"/>
      <c r="AF148" s="106"/>
      <c r="AG148" s="106"/>
      <c r="AH148" s="106"/>
      <c r="AI148" s="106"/>
      <c r="AJ148" s="106"/>
    </row>
    <row r="149" spans="1:36" s="99" customFormat="1">
      <c r="A149" s="77">
        <f>IF(F149&lt;&gt;"",1+MAX($A$2:A148),"")</f>
        <v>120</v>
      </c>
      <c r="B149" s="56"/>
      <c r="C149" s="107"/>
      <c r="D149" s="57" t="s">
        <v>160</v>
      </c>
      <c r="E149" s="81">
        <v>12.89</v>
      </c>
      <c r="F149" s="108">
        <v>0.05</v>
      </c>
      <c r="G149" s="109">
        <f t="shared" si="118"/>
        <v>13.534500000000001</v>
      </c>
      <c r="H149" s="79" t="s">
        <v>99</v>
      </c>
      <c r="I149" s="71">
        <f>(I148+I150)/2</f>
        <v>0.32100000000000001</v>
      </c>
      <c r="J149" s="72">
        <f t="shared" si="105"/>
        <v>4.3445745000000002</v>
      </c>
      <c r="K149" s="73">
        <f>'LABOR SHEET'!C$3</f>
        <v>46.5</v>
      </c>
      <c r="L149" s="74">
        <f t="shared" si="106"/>
        <v>14.926500000000001</v>
      </c>
      <c r="M149" s="74">
        <f t="shared" si="107"/>
        <v>202.02271425000001</v>
      </c>
      <c r="N149" s="74">
        <f>(N148+N150)/2</f>
        <v>13.984999999999999</v>
      </c>
      <c r="O149" s="74">
        <f t="shared" si="108"/>
        <v>189.27998250000002</v>
      </c>
      <c r="P149" s="74">
        <f t="shared" si="109"/>
        <v>28.9115</v>
      </c>
      <c r="Q149" s="58">
        <f t="shared" si="110"/>
        <v>391.30269675000005</v>
      </c>
      <c r="R149" s="106"/>
      <c r="S149" s="106"/>
      <c r="T149" s="106"/>
      <c r="U149" s="106"/>
      <c r="V149" s="106"/>
      <c r="W149" s="106"/>
      <c r="X149" s="106"/>
      <c r="Y149" s="106"/>
      <c r="Z149" s="106"/>
      <c r="AA149" s="106"/>
      <c r="AB149" s="106"/>
      <c r="AC149" s="106"/>
      <c r="AD149" s="106"/>
      <c r="AE149" s="106"/>
      <c r="AF149" s="106"/>
      <c r="AG149" s="106"/>
      <c r="AH149" s="106"/>
      <c r="AI149" s="106"/>
      <c r="AJ149" s="106"/>
    </row>
    <row r="150" spans="1:36" s="99" customFormat="1">
      <c r="A150" s="65">
        <f>IF(F150&lt;&gt;"",1+MAX($A$2:A149),"")</f>
        <v>121</v>
      </c>
      <c r="B150" s="56"/>
      <c r="C150" s="107"/>
      <c r="D150" s="57" t="s">
        <v>161</v>
      </c>
      <c r="E150" s="81">
        <v>1</v>
      </c>
      <c r="F150" s="108">
        <v>0.05</v>
      </c>
      <c r="G150" s="109">
        <f t="shared" si="118"/>
        <v>1.05</v>
      </c>
      <c r="H150" s="79" t="s">
        <v>99</v>
      </c>
      <c r="I150" s="71">
        <v>0.33200000000000002</v>
      </c>
      <c r="J150" s="72">
        <f t="shared" si="105"/>
        <v>0.34860000000000002</v>
      </c>
      <c r="K150" s="73">
        <f>'LABOR SHEET'!C$3</f>
        <v>46.5</v>
      </c>
      <c r="L150" s="74">
        <f t="shared" si="106"/>
        <v>15.438000000000001</v>
      </c>
      <c r="M150" s="74">
        <f t="shared" si="107"/>
        <v>16.209900000000001</v>
      </c>
      <c r="N150" s="74">
        <v>14.62</v>
      </c>
      <c r="O150" s="74">
        <f t="shared" si="108"/>
        <v>15.350999999999999</v>
      </c>
      <c r="P150" s="74">
        <f t="shared" si="109"/>
        <v>30.058</v>
      </c>
      <c r="Q150" s="58">
        <f t="shared" si="110"/>
        <v>31.5609</v>
      </c>
      <c r="R150" s="106"/>
      <c r="S150" s="106"/>
      <c r="T150" s="106"/>
      <c r="U150" s="106"/>
      <c r="V150" s="106"/>
      <c r="W150" s="106"/>
      <c r="X150" s="106"/>
      <c r="Y150" s="106"/>
      <c r="Z150" s="106"/>
      <c r="AA150" s="106"/>
      <c r="AB150" s="106"/>
      <c r="AC150" s="106"/>
      <c r="AD150" s="106"/>
      <c r="AE150" s="106"/>
      <c r="AF150" s="106"/>
      <c r="AG150" s="106"/>
      <c r="AH150" s="106"/>
      <c r="AI150" s="106"/>
      <c r="AJ150" s="106"/>
    </row>
    <row r="151" spans="1:36" s="99" customFormat="1">
      <c r="A151" s="77">
        <f>IF(F151&lt;&gt;"",1+MAX($A$2:A150),"")</f>
        <v>122</v>
      </c>
      <c r="B151" s="56"/>
      <c r="C151" s="107"/>
      <c r="D151" s="57" t="s">
        <v>162</v>
      </c>
      <c r="E151" s="81">
        <v>4.5</v>
      </c>
      <c r="F151" s="108">
        <v>0.05</v>
      </c>
      <c r="G151" s="109">
        <f t="shared" si="118"/>
        <v>4.7250000000000005</v>
      </c>
      <c r="H151" s="79" t="s">
        <v>99</v>
      </c>
      <c r="I151" s="71">
        <v>0.23499999999999999</v>
      </c>
      <c r="J151" s="72">
        <f t="shared" ref="J151" si="119">+I151*G151</f>
        <v>1.1103750000000001</v>
      </c>
      <c r="K151" s="73">
        <f>'LABOR SHEET'!C$3</f>
        <v>46.5</v>
      </c>
      <c r="L151" s="74">
        <f t="shared" ref="L151" si="120">I151*K151</f>
        <v>10.9275</v>
      </c>
      <c r="M151" s="74">
        <f t="shared" ref="M151" si="121">K151*J151</f>
        <v>51.632437500000002</v>
      </c>
      <c r="N151" s="74">
        <v>5.66</v>
      </c>
      <c r="O151" s="74">
        <f t="shared" ref="O151" si="122">N151*G151</f>
        <v>26.743500000000004</v>
      </c>
      <c r="P151" s="74">
        <f t="shared" ref="P151" si="123">(I151*K151)+N151</f>
        <v>16.587499999999999</v>
      </c>
      <c r="Q151" s="58">
        <f t="shared" ref="Q151" si="124">P151*G151</f>
        <v>78.375937500000006</v>
      </c>
      <c r="R151" s="106"/>
      <c r="S151" s="106"/>
      <c r="T151" s="106"/>
      <c r="U151" s="106"/>
      <c r="V151" s="106"/>
      <c r="W151" s="106"/>
      <c r="X151" s="106"/>
      <c r="Y151" s="106"/>
      <c r="Z151" s="106"/>
      <c r="AA151" s="106"/>
      <c r="AB151" s="106"/>
      <c r="AC151" s="106"/>
      <c r="AD151" s="106"/>
      <c r="AE151" s="106"/>
      <c r="AF151" s="106"/>
      <c r="AG151" s="106"/>
      <c r="AH151" s="106"/>
      <c r="AI151" s="106"/>
      <c r="AJ151" s="106"/>
    </row>
    <row r="152" spans="1:36" s="99" customFormat="1">
      <c r="A152" s="65">
        <f>IF(F152&lt;&gt;"",1+MAX($A$2:A151),"")</f>
        <v>123</v>
      </c>
      <c r="B152" s="56"/>
      <c r="C152" s="107"/>
      <c r="D152" s="57" t="s">
        <v>163</v>
      </c>
      <c r="E152" s="81">
        <v>6.4</v>
      </c>
      <c r="F152" s="108">
        <v>0.05</v>
      </c>
      <c r="G152" s="109">
        <f t="shared" ref="G152:G155" si="125">E152*(1+F152)</f>
        <v>6.7200000000000006</v>
      </c>
      <c r="H152" s="79" t="s">
        <v>99</v>
      </c>
      <c r="I152" s="71">
        <f>(I143+I144)/2</f>
        <v>0.2485</v>
      </c>
      <c r="J152" s="72">
        <f t="shared" si="105"/>
        <v>1.6699200000000001</v>
      </c>
      <c r="K152" s="73">
        <f>'LABOR SHEET'!C$3</f>
        <v>46.5</v>
      </c>
      <c r="L152" s="74">
        <f t="shared" si="106"/>
        <v>11.555249999999999</v>
      </c>
      <c r="M152" s="74">
        <f t="shared" si="107"/>
        <v>77.65128</v>
      </c>
      <c r="N152" s="74">
        <f>(N143+N144)/2</f>
        <v>6.78</v>
      </c>
      <c r="O152" s="74">
        <f t="shared" si="108"/>
        <v>45.561600000000006</v>
      </c>
      <c r="P152" s="74">
        <f t="shared" si="109"/>
        <v>18.335249999999998</v>
      </c>
      <c r="Q152" s="58">
        <f t="shared" si="110"/>
        <v>123.21288</v>
      </c>
      <c r="R152" s="106"/>
      <c r="S152" s="106"/>
      <c r="T152" s="106"/>
      <c r="U152" s="106"/>
      <c r="V152" s="106"/>
      <c r="W152" s="106"/>
      <c r="X152" s="106"/>
      <c r="Y152" s="106"/>
      <c r="Z152" s="106"/>
      <c r="AA152" s="106"/>
      <c r="AB152" s="106"/>
      <c r="AC152" s="106"/>
      <c r="AD152" s="106"/>
      <c r="AE152" s="106"/>
      <c r="AF152" s="106"/>
      <c r="AG152" s="106"/>
      <c r="AH152" s="106"/>
      <c r="AI152" s="106"/>
      <c r="AJ152" s="106"/>
    </row>
    <row r="153" spans="1:36" s="99" customFormat="1">
      <c r="A153" s="77">
        <f>IF(F153&lt;&gt;"",1+MAX($A$2:A152),"")</f>
        <v>124</v>
      </c>
      <c r="B153" s="56"/>
      <c r="C153" s="107"/>
      <c r="D153" s="57" t="s">
        <v>164</v>
      </c>
      <c r="E153" s="81">
        <v>4.29</v>
      </c>
      <c r="F153" s="108">
        <v>0.05</v>
      </c>
      <c r="G153" s="109">
        <f t="shared" si="125"/>
        <v>4.5045000000000002</v>
      </c>
      <c r="H153" s="79" t="s">
        <v>99</v>
      </c>
      <c r="I153" s="71">
        <v>0.26200000000000001</v>
      </c>
      <c r="J153" s="72">
        <f t="shared" ref="J153:J155" si="126">+I153*G153</f>
        <v>1.1801790000000001</v>
      </c>
      <c r="K153" s="73">
        <f>'LABOR SHEET'!C$3</f>
        <v>46.5</v>
      </c>
      <c r="L153" s="74">
        <f t="shared" ref="L153:L155" si="127">I153*K153</f>
        <v>12.183</v>
      </c>
      <c r="M153" s="74">
        <f t="shared" ref="M153:M155" si="128">K153*J153</f>
        <v>54.878323500000008</v>
      </c>
      <c r="N153" s="74">
        <v>7.9</v>
      </c>
      <c r="O153" s="74">
        <f t="shared" ref="O153:O155" si="129">N153*G153</f>
        <v>35.585550000000005</v>
      </c>
      <c r="P153" s="74">
        <f t="shared" ref="P153:P155" si="130">(I153*K153)+N153</f>
        <v>20.082999999999998</v>
      </c>
      <c r="Q153" s="58">
        <f t="shared" ref="Q153:Q155" si="131">P153*G153</f>
        <v>90.463873499999991</v>
      </c>
      <c r="R153" s="106"/>
      <c r="S153" s="106"/>
      <c r="T153" s="106"/>
      <c r="U153" s="106"/>
      <c r="V153" s="106"/>
      <c r="W153" s="106"/>
      <c r="X153" s="106"/>
      <c r="Y153" s="106"/>
      <c r="Z153" s="106"/>
      <c r="AA153" s="106"/>
      <c r="AB153" s="106"/>
      <c r="AC153" s="106"/>
      <c r="AD153" s="106"/>
      <c r="AE153" s="106"/>
      <c r="AF153" s="106"/>
      <c r="AG153" s="106"/>
      <c r="AH153" s="106"/>
      <c r="AI153" s="106"/>
      <c r="AJ153" s="106"/>
    </row>
    <row r="154" spans="1:36" s="99" customFormat="1">
      <c r="A154" s="65">
        <f>IF(F154&lt;&gt;"",1+MAX($A$2:A153),"")</f>
        <v>125</v>
      </c>
      <c r="B154" s="56"/>
      <c r="C154" s="107"/>
      <c r="D154" s="57" t="s">
        <v>165</v>
      </c>
      <c r="E154" s="81">
        <v>19.87</v>
      </c>
      <c r="F154" s="108">
        <v>0.05</v>
      </c>
      <c r="G154" s="109">
        <f t="shared" si="125"/>
        <v>20.863500000000002</v>
      </c>
      <c r="H154" s="79" t="s">
        <v>99</v>
      </c>
      <c r="I154" s="71">
        <v>0.29099999999999998</v>
      </c>
      <c r="J154" s="72">
        <f t="shared" si="126"/>
        <v>6.0712785</v>
      </c>
      <c r="K154" s="73">
        <f>'LABOR SHEET'!C$3</f>
        <v>46.5</v>
      </c>
      <c r="L154" s="74">
        <f t="shared" si="127"/>
        <v>13.531499999999999</v>
      </c>
      <c r="M154" s="74">
        <f t="shared" si="128"/>
        <v>282.31445024999999</v>
      </c>
      <c r="N154" s="74">
        <v>11.04</v>
      </c>
      <c r="O154" s="74">
        <f t="shared" si="129"/>
        <v>230.33304000000001</v>
      </c>
      <c r="P154" s="74">
        <f t="shared" si="130"/>
        <v>24.5715</v>
      </c>
      <c r="Q154" s="58">
        <f t="shared" si="131"/>
        <v>512.64749025000003</v>
      </c>
      <c r="R154" s="106"/>
      <c r="S154" s="106"/>
      <c r="T154" s="106"/>
      <c r="U154" s="106"/>
      <c r="V154" s="106"/>
      <c r="W154" s="106"/>
      <c r="X154" s="106"/>
      <c r="Y154" s="106"/>
      <c r="Z154" s="106"/>
      <c r="AA154" s="106"/>
      <c r="AB154" s="106"/>
      <c r="AC154" s="106"/>
      <c r="AD154" s="106"/>
      <c r="AE154" s="106"/>
      <c r="AF154" s="106"/>
      <c r="AG154" s="106"/>
      <c r="AH154" s="106"/>
      <c r="AI154" s="106"/>
      <c r="AJ154" s="106"/>
    </row>
    <row r="155" spans="1:36" s="99" customFormat="1">
      <c r="A155" s="77">
        <f>IF(F155&lt;&gt;"",1+MAX($A$2:A154),"")</f>
        <v>126</v>
      </c>
      <c r="B155" s="56"/>
      <c r="C155" s="107"/>
      <c r="D155" s="57" t="s">
        <v>166</v>
      </c>
      <c r="E155" s="81">
        <v>5.05</v>
      </c>
      <c r="F155" s="108">
        <v>0.05</v>
      </c>
      <c r="G155" s="109">
        <f t="shared" si="125"/>
        <v>5.3025000000000002</v>
      </c>
      <c r="H155" s="79" t="s">
        <v>99</v>
      </c>
      <c r="I155" s="71">
        <v>0.31</v>
      </c>
      <c r="J155" s="72">
        <f t="shared" si="126"/>
        <v>1.643775</v>
      </c>
      <c r="K155" s="73">
        <f>'LABOR SHEET'!C$3</f>
        <v>46.5</v>
      </c>
      <c r="L155" s="74">
        <f t="shared" si="127"/>
        <v>14.414999999999999</v>
      </c>
      <c r="M155" s="74">
        <f t="shared" si="128"/>
        <v>76.435537499999995</v>
      </c>
      <c r="N155" s="74">
        <v>13.35</v>
      </c>
      <c r="O155" s="74">
        <f t="shared" si="129"/>
        <v>70.788375000000002</v>
      </c>
      <c r="P155" s="74">
        <f t="shared" si="130"/>
        <v>27.765000000000001</v>
      </c>
      <c r="Q155" s="58">
        <f t="shared" si="131"/>
        <v>147.22391250000001</v>
      </c>
      <c r="R155" s="106"/>
      <c r="S155" s="106"/>
      <c r="T155" s="106"/>
      <c r="U155" s="106"/>
      <c r="V155" s="106"/>
      <c r="W155" s="106"/>
      <c r="X155" s="106"/>
      <c r="Y155" s="106"/>
      <c r="Z155" s="106"/>
      <c r="AA155" s="106"/>
      <c r="AB155" s="106"/>
      <c r="AC155" s="106"/>
      <c r="AD155" s="106"/>
      <c r="AE155" s="106"/>
      <c r="AF155" s="106"/>
      <c r="AG155" s="106"/>
      <c r="AH155" s="106"/>
      <c r="AI155" s="106"/>
      <c r="AJ155" s="106"/>
    </row>
    <row r="156" spans="1:36" s="99" customFormat="1">
      <c r="A156" s="65" t="str">
        <f>IF(F156&lt;&gt;"",1+MAX($A$2:A155),"")</f>
        <v/>
      </c>
      <c r="B156" s="56"/>
      <c r="C156" s="107"/>
      <c r="D156" s="57"/>
      <c r="E156" s="81"/>
      <c r="F156" s="108"/>
      <c r="G156" s="109"/>
      <c r="H156" s="79"/>
      <c r="I156" s="71"/>
      <c r="J156" s="72"/>
      <c r="K156" s="73"/>
      <c r="L156" s="74"/>
      <c r="M156" s="74"/>
      <c r="N156" s="74"/>
      <c r="O156" s="74"/>
      <c r="P156" s="74"/>
      <c r="Q156" s="58"/>
      <c r="R156" s="106"/>
      <c r="S156" s="106"/>
      <c r="T156" s="106"/>
      <c r="U156" s="106"/>
      <c r="V156" s="106"/>
      <c r="W156" s="106"/>
      <c r="X156" s="106"/>
      <c r="Y156" s="106"/>
      <c r="Z156" s="106"/>
      <c r="AA156" s="106"/>
      <c r="AB156" s="106"/>
      <c r="AC156" s="106"/>
      <c r="AD156" s="106"/>
      <c r="AE156" s="106"/>
      <c r="AF156" s="106"/>
      <c r="AG156" s="106"/>
      <c r="AH156" s="106"/>
      <c r="AI156" s="106"/>
      <c r="AJ156" s="106"/>
    </row>
    <row r="157" spans="1:36" s="99" customFormat="1">
      <c r="A157" s="77" t="str">
        <f>IF(F157&lt;&gt;"",1+MAX($A$2:A156),"")</f>
        <v/>
      </c>
      <c r="B157" s="56"/>
      <c r="C157" s="107"/>
      <c r="D157" s="110" t="s">
        <v>167</v>
      </c>
      <c r="E157" s="81"/>
      <c r="F157" s="108"/>
      <c r="G157" s="109"/>
      <c r="H157" s="79"/>
      <c r="I157" s="71"/>
      <c r="J157" s="72"/>
      <c r="K157" s="73"/>
      <c r="L157" s="74"/>
      <c r="M157" s="74"/>
      <c r="N157" s="74"/>
      <c r="O157" s="74"/>
      <c r="P157" s="74"/>
      <c r="Q157" s="58"/>
      <c r="R157" s="106"/>
      <c r="S157" s="106"/>
      <c r="T157" s="106"/>
      <c r="U157" s="106"/>
      <c r="V157" s="106"/>
      <c r="W157" s="106"/>
      <c r="X157" s="106"/>
      <c r="Y157" s="106"/>
      <c r="Z157" s="106"/>
      <c r="AA157" s="106"/>
      <c r="AB157" s="106"/>
      <c r="AC157" s="106"/>
      <c r="AD157" s="106"/>
      <c r="AE157" s="106"/>
      <c r="AF157" s="106"/>
      <c r="AG157" s="106"/>
      <c r="AH157" s="106"/>
      <c r="AI157" s="106"/>
      <c r="AJ157" s="106"/>
    </row>
    <row r="158" spans="1:36" s="99" customFormat="1">
      <c r="A158" s="65">
        <f>IF(F158&lt;&gt;"",1+MAX($A$2:A157),"")</f>
        <v>127</v>
      </c>
      <c r="B158" s="56"/>
      <c r="C158" s="107"/>
      <c r="D158" s="57" t="s">
        <v>168</v>
      </c>
      <c r="E158" s="81">
        <v>1</v>
      </c>
      <c r="F158" s="108">
        <v>0</v>
      </c>
      <c r="G158" s="109">
        <f t="shared" ref="G158:G210" si="132">E158*(1+F158)</f>
        <v>1</v>
      </c>
      <c r="H158" s="79" t="s">
        <v>43</v>
      </c>
      <c r="I158" s="71">
        <v>1.4</v>
      </c>
      <c r="J158" s="72">
        <f t="shared" ref="J158:J210" si="133">+I158*G158</f>
        <v>1.4</v>
      </c>
      <c r="K158" s="73">
        <f>'LABOR SHEET'!C$3</f>
        <v>46.5</v>
      </c>
      <c r="L158" s="74">
        <f t="shared" ref="L158:L210" si="134">I158*K158</f>
        <v>65.099999999999994</v>
      </c>
      <c r="M158" s="74">
        <f t="shared" ref="M158:M210" si="135">K158*J158</f>
        <v>65.099999999999994</v>
      </c>
      <c r="N158" s="74">
        <v>150</v>
      </c>
      <c r="O158" s="74">
        <f t="shared" ref="O158:O210" si="136">N158*G158</f>
        <v>150</v>
      </c>
      <c r="P158" s="74">
        <f t="shared" ref="P158:P210" si="137">(I158*K158)+N158</f>
        <v>215.1</v>
      </c>
      <c r="Q158" s="58">
        <f t="shared" ref="Q158:Q210" si="138">P158*G158</f>
        <v>215.1</v>
      </c>
      <c r="R158" s="106"/>
      <c r="S158" s="106"/>
      <c r="T158" s="106"/>
      <c r="U158" s="106"/>
      <c r="V158" s="106"/>
      <c r="W158" s="106"/>
      <c r="X158" s="106"/>
      <c r="Y158" s="106"/>
      <c r="Z158" s="106"/>
      <c r="AA158" s="106"/>
      <c r="AB158" s="106"/>
      <c r="AC158" s="106"/>
      <c r="AD158" s="106"/>
      <c r="AE158" s="106"/>
      <c r="AF158" s="106"/>
      <c r="AG158" s="106"/>
      <c r="AH158" s="106"/>
      <c r="AI158" s="106"/>
      <c r="AJ158" s="106"/>
    </row>
    <row r="159" spans="1:36" s="99" customFormat="1">
      <c r="A159" s="77">
        <f>IF(F159&lt;&gt;"",1+MAX($A$2:A158),"")</f>
        <v>128</v>
      </c>
      <c r="B159" s="56"/>
      <c r="C159" s="107"/>
      <c r="D159" s="57" t="s">
        <v>169</v>
      </c>
      <c r="E159" s="81">
        <v>2</v>
      </c>
      <c r="F159" s="108">
        <v>0</v>
      </c>
      <c r="G159" s="109">
        <f t="shared" si="132"/>
        <v>2</v>
      </c>
      <c r="H159" s="79" t="s">
        <v>43</v>
      </c>
      <c r="I159" s="71">
        <v>1.85</v>
      </c>
      <c r="J159" s="72">
        <f t="shared" si="133"/>
        <v>3.7</v>
      </c>
      <c r="K159" s="73">
        <f>'LABOR SHEET'!C$3</f>
        <v>46.5</v>
      </c>
      <c r="L159" s="74">
        <f t="shared" si="134"/>
        <v>86.025000000000006</v>
      </c>
      <c r="M159" s="74">
        <f t="shared" si="135"/>
        <v>172.05</v>
      </c>
      <c r="N159" s="74">
        <v>162</v>
      </c>
      <c r="O159" s="74">
        <f t="shared" si="136"/>
        <v>324</v>
      </c>
      <c r="P159" s="74">
        <f t="shared" si="137"/>
        <v>248.02500000000001</v>
      </c>
      <c r="Q159" s="58">
        <f t="shared" si="138"/>
        <v>496.05</v>
      </c>
      <c r="R159" s="106"/>
      <c r="S159" s="106"/>
      <c r="T159" s="106"/>
      <c r="U159" s="106"/>
      <c r="V159" s="106"/>
      <c r="W159" s="106"/>
      <c r="X159" s="106"/>
      <c r="Y159" s="106"/>
      <c r="Z159" s="106"/>
      <c r="AA159" s="106"/>
      <c r="AB159" s="106"/>
      <c r="AC159" s="106"/>
      <c r="AD159" s="106"/>
      <c r="AE159" s="106"/>
      <c r="AF159" s="106"/>
      <c r="AG159" s="106"/>
      <c r="AH159" s="106"/>
      <c r="AI159" s="106"/>
      <c r="AJ159" s="106"/>
    </row>
    <row r="160" spans="1:36" s="99" customFormat="1">
      <c r="A160" s="65">
        <f>IF(F160&lt;&gt;"",1+MAX($A$2:A159),"")</f>
        <v>129</v>
      </c>
      <c r="B160" s="56"/>
      <c r="C160" s="107"/>
      <c r="D160" s="57" t="s">
        <v>170</v>
      </c>
      <c r="E160" s="81">
        <v>2</v>
      </c>
      <c r="F160" s="108">
        <v>0</v>
      </c>
      <c r="G160" s="109">
        <f t="shared" si="132"/>
        <v>2</v>
      </c>
      <c r="H160" s="79" t="s">
        <v>43</v>
      </c>
      <c r="I160" s="71">
        <v>2</v>
      </c>
      <c r="J160" s="72">
        <f t="shared" si="133"/>
        <v>4</v>
      </c>
      <c r="K160" s="73">
        <f>'LABOR SHEET'!C$3</f>
        <v>46.5</v>
      </c>
      <c r="L160" s="74">
        <f t="shared" si="134"/>
        <v>93</v>
      </c>
      <c r="M160" s="74">
        <f t="shared" si="135"/>
        <v>186</v>
      </c>
      <c r="N160" s="74">
        <v>186</v>
      </c>
      <c r="O160" s="74">
        <f t="shared" si="136"/>
        <v>372</v>
      </c>
      <c r="P160" s="74">
        <f t="shared" si="137"/>
        <v>279</v>
      </c>
      <c r="Q160" s="58">
        <f t="shared" si="138"/>
        <v>558</v>
      </c>
      <c r="R160" s="106"/>
      <c r="S160" s="106"/>
      <c r="T160" s="106"/>
      <c r="U160" s="106"/>
      <c r="V160" s="106"/>
      <c r="W160" s="106"/>
      <c r="X160" s="106"/>
      <c r="Y160" s="106"/>
      <c r="Z160" s="106"/>
      <c r="AA160" s="106"/>
      <c r="AB160" s="106"/>
      <c r="AC160" s="106"/>
      <c r="AD160" s="106"/>
      <c r="AE160" s="106"/>
      <c r="AF160" s="106"/>
      <c r="AG160" s="106"/>
      <c r="AH160" s="106"/>
      <c r="AI160" s="106"/>
      <c r="AJ160" s="106"/>
    </row>
    <row r="161" spans="1:36" s="99" customFormat="1">
      <c r="A161" s="77">
        <f>IF(F161&lt;&gt;"",1+MAX($A$2:A160),"")</f>
        <v>130</v>
      </c>
      <c r="B161" s="56"/>
      <c r="C161" s="107"/>
      <c r="D161" s="57" t="s">
        <v>171</v>
      </c>
      <c r="E161" s="81">
        <v>1</v>
      </c>
      <c r="F161" s="108">
        <v>0</v>
      </c>
      <c r="G161" s="109">
        <f t="shared" si="132"/>
        <v>1</v>
      </c>
      <c r="H161" s="79" t="s">
        <v>43</v>
      </c>
      <c r="I161" s="71">
        <v>0.4</v>
      </c>
      <c r="J161" s="72">
        <f t="shared" si="133"/>
        <v>0.4</v>
      </c>
      <c r="K161" s="73">
        <f>'LABOR SHEET'!C$3</f>
        <v>46.5</v>
      </c>
      <c r="L161" s="74">
        <f t="shared" si="134"/>
        <v>18.600000000000001</v>
      </c>
      <c r="M161" s="74">
        <f t="shared" si="135"/>
        <v>18.600000000000001</v>
      </c>
      <c r="N161" s="74">
        <v>15</v>
      </c>
      <c r="O161" s="74">
        <f t="shared" si="136"/>
        <v>15</v>
      </c>
      <c r="P161" s="74">
        <f t="shared" si="137"/>
        <v>33.6</v>
      </c>
      <c r="Q161" s="58">
        <f t="shared" si="138"/>
        <v>33.6</v>
      </c>
      <c r="R161" s="106"/>
      <c r="S161" s="106"/>
      <c r="T161" s="106"/>
      <c r="U161" s="106"/>
      <c r="V161" s="106"/>
      <c r="W161" s="106"/>
      <c r="X161" s="106"/>
      <c r="Y161" s="106"/>
      <c r="Z161" s="106"/>
      <c r="AA161" s="106"/>
      <c r="AB161" s="106"/>
      <c r="AC161" s="106"/>
      <c r="AD161" s="106"/>
      <c r="AE161" s="106"/>
      <c r="AF161" s="106"/>
      <c r="AG161" s="106"/>
      <c r="AH161" s="106"/>
      <c r="AI161" s="106"/>
      <c r="AJ161" s="106"/>
    </row>
    <row r="162" spans="1:36" s="99" customFormat="1">
      <c r="A162" s="65">
        <f>IF(F162&lt;&gt;"",1+MAX($A$2:A161),"")</f>
        <v>131</v>
      </c>
      <c r="B162" s="56"/>
      <c r="C162" s="107"/>
      <c r="D162" s="57" t="s">
        <v>172</v>
      </c>
      <c r="E162" s="81">
        <v>1</v>
      </c>
      <c r="F162" s="108">
        <v>0</v>
      </c>
      <c r="G162" s="109">
        <f t="shared" si="132"/>
        <v>1</v>
      </c>
      <c r="H162" s="79" t="s">
        <v>43</v>
      </c>
      <c r="I162" s="71">
        <v>0.45</v>
      </c>
      <c r="J162" s="72">
        <f t="shared" si="133"/>
        <v>0.45</v>
      </c>
      <c r="K162" s="73">
        <f>'LABOR SHEET'!C$3</f>
        <v>46.5</v>
      </c>
      <c r="L162" s="74">
        <f t="shared" si="134"/>
        <v>20.925000000000001</v>
      </c>
      <c r="M162" s="74">
        <f t="shared" si="135"/>
        <v>20.925000000000001</v>
      </c>
      <c r="N162" s="74">
        <v>30</v>
      </c>
      <c r="O162" s="74">
        <f t="shared" si="136"/>
        <v>30</v>
      </c>
      <c r="P162" s="74">
        <f t="shared" si="137"/>
        <v>50.924999999999997</v>
      </c>
      <c r="Q162" s="58">
        <f t="shared" si="138"/>
        <v>50.924999999999997</v>
      </c>
      <c r="R162" s="106"/>
      <c r="S162" s="106"/>
      <c r="T162" s="106"/>
      <c r="U162" s="106"/>
      <c r="V162" s="106"/>
      <c r="W162" s="106"/>
      <c r="X162" s="106"/>
      <c r="Y162" s="106"/>
      <c r="Z162" s="106"/>
      <c r="AA162" s="106"/>
      <c r="AB162" s="106"/>
      <c r="AC162" s="106"/>
      <c r="AD162" s="106"/>
      <c r="AE162" s="106"/>
      <c r="AF162" s="106"/>
      <c r="AG162" s="106"/>
      <c r="AH162" s="106"/>
      <c r="AI162" s="106"/>
      <c r="AJ162" s="106"/>
    </row>
    <row r="163" spans="1:36" s="99" customFormat="1">
      <c r="A163" s="77">
        <f>IF(F163&lt;&gt;"",1+MAX($A$2:A162),"")</f>
        <v>132</v>
      </c>
      <c r="B163" s="56"/>
      <c r="C163" s="107"/>
      <c r="D163" s="57" t="s">
        <v>173</v>
      </c>
      <c r="E163" s="81">
        <v>2</v>
      </c>
      <c r="F163" s="108">
        <v>0</v>
      </c>
      <c r="G163" s="109">
        <f t="shared" si="132"/>
        <v>2</v>
      </c>
      <c r="H163" s="79" t="s">
        <v>43</v>
      </c>
      <c r="I163" s="71">
        <v>0.6</v>
      </c>
      <c r="J163" s="72">
        <f t="shared" si="133"/>
        <v>1.2</v>
      </c>
      <c r="K163" s="73">
        <f>'LABOR SHEET'!C$3</f>
        <v>46.5</v>
      </c>
      <c r="L163" s="74">
        <f t="shared" si="134"/>
        <v>27.9</v>
      </c>
      <c r="M163" s="74">
        <f t="shared" si="135"/>
        <v>55.8</v>
      </c>
      <c r="N163" s="74">
        <v>40</v>
      </c>
      <c r="O163" s="74">
        <f t="shared" si="136"/>
        <v>80</v>
      </c>
      <c r="P163" s="74">
        <f t="shared" si="137"/>
        <v>67.900000000000006</v>
      </c>
      <c r="Q163" s="58">
        <f t="shared" si="138"/>
        <v>135.80000000000001</v>
      </c>
      <c r="R163" s="106"/>
      <c r="S163" s="106"/>
      <c r="T163" s="106"/>
      <c r="U163" s="106"/>
      <c r="V163" s="106"/>
      <c r="W163" s="106"/>
      <c r="X163" s="106"/>
      <c r="Y163" s="106"/>
      <c r="Z163" s="106"/>
      <c r="AA163" s="106"/>
      <c r="AB163" s="106"/>
      <c r="AC163" s="106"/>
      <c r="AD163" s="106"/>
      <c r="AE163" s="106"/>
      <c r="AF163" s="106"/>
      <c r="AG163" s="106"/>
      <c r="AH163" s="106"/>
      <c r="AI163" s="106"/>
      <c r="AJ163" s="106"/>
    </row>
    <row r="164" spans="1:36" s="99" customFormat="1">
      <c r="A164" s="65">
        <f>IF(F164&lt;&gt;"",1+MAX($A$2:A163),"")</f>
        <v>133</v>
      </c>
      <c r="B164" s="56"/>
      <c r="C164" s="107"/>
      <c r="D164" s="57" t="s">
        <v>174</v>
      </c>
      <c r="E164" s="81">
        <v>1</v>
      </c>
      <c r="F164" s="108">
        <v>0</v>
      </c>
      <c r="G164" s="109">
        <f t="shared" si="132"/>
        <v>1</v>
      </c>
      <c r="H164" s="79" t="s">
        <v>43</v>
      </c>
      <c r="I164" s="71">
        <v>0.85</v>
      </c>
      <c r="J164" s="72">
        <f t="shared" si="133"/>
        <v>0.85</v>
      </c>
      <c r="K164" s="73">
        <f>'LABOR SHEET'!C$3</f>
        <v>46.5</v>
      </c>
      <c r="L164" s="74">
        <f t="shared" si="134"/>
        <v>39.524999999999999</v>
      </c>
      <c r="M164" s="74">
        <f t="shared" si="135"/>
        <v>39.524999999999999</v>
      </c>
      <c r="N164" s="74">
        <v>80</v>
      </c>
      <c r="O164" s="74">
        <f t="shared" si="136"/>
        <v>80</v>
      </c>
      <c r="P164" s="74">
        <f t="shared" si="137"/>
        <v>119.52500000000001</v>
      </c>
      <c r="Q164" s="58">
        <f t="shared" si="138"/>
        <v>119.52500000000001</v>
      </c>
      <c r="R164" s="106"/>
      <c r="S164" s="106"/>
      <c r="T164" s="106"/>
      <c r="U164" s="106"/>
      <c r="V164" s="106"/>
      <c r="W164" s="106"/>
      <c r="X164" s="106"/>
      <c r="Y164" s="106"/>
      <c r="Z164" s="106"/>
      <c r="AA164" s="106"/>
      <c r="AB164" s="106"/>
      <c r="AC164" s="106"/>
      <c r="AD164" s="106"/>
      <c r="AE164" s="106"/>
      <c r="AF164" s="106"/>
      <c r="AG164" s="106"/>
      <c r="AH164" s="106"/>
      <c r="AI164" s="106"/>
      <c r="AJ164" s="106"/>
    </row>
    <row r="165" spans="1:36" s="99" customFormat="1">
      <c r="A165" s="77">
        <f>IF(F165&lt;&gt;"",1+MAX($A$2:A164),"")</f>
        <v>134</v>
      </c>
      <c r="B165" s="56"/>
      <c r="C165" s="107"/>
      <c r="D165" s="57" t="s">
        <v>175</v>
      </c>
      <c r="E165" s="81">
        <v>3</v>
      </c>
      <c r="F165" s="108">
        <v>0</v>
      </c>
      <c r="G165" s="109">
        <f t="shared" si="132"/>
        <v>3</v>
      </c>
      <c r="H165" s="79" t="s">
        <v>43</v>
      </c>
      <c r="I165" s="71">
        <v>0.6</v>
      </c>
      <c r="J165" s="72">
        <f t="shared" si="133"/>
        <v>1.7999999999999998</v>
      </c>
      <c r="K165" s="73">
        <f>'LABOR SHEET'!C$3</f>
        <v>46.5</v>
      </c>
      <c r="L165" s="74">
        <f t="shared" si="134"/>
        <v>27.9</v>
      </c>
      <c r="M165" s="74">
        <f t="shared" si="135"/>
        <v>83.699999999999989</v>
      </c>
      <c r="N165" s="74">
        <v>50</v>
      </c>
      <c r="O165" s="74">
        <f t="shared" si="136"/>
        <v>150</v>
      </c>
      <c r="P165" s="74">
        <f t="shared" si="137"/>
        <v>77.900000000000006</v>
      </c>
      <c r="Q165" s="58">
        <f t="shared" si="138"/>
        <v>233.70000000000002</v>
      </c>
      <c r="R165" s="106"/>
      <c r="S165" s="106"/>
      <c r="T165" s="106"/>
      <c r="U165" s="106"/>
      <c r="V165" s="106"/>
      <c r="W165" s="106"/>
      <c r="X165" s="106"/>
      <c r="Y165" s="106"/>
      <c r="Z165" s="106"/>
      <c r="AA165" s="106"/>
      <c r="AB165" s="106"/>
      <c r="AC165" s="106"/>
      <c r="AD165" s="106"/>
      <c r="AE165" s="106"/>
      <c r="AF165" s="106"/>
      <c r="AG165" s="106"/>
      <c r="AH165" s="106"/>
      <c r="AI165" s="106"/>
      <c r="AJ165" s="106"/>
    </row>
    <row r="166" spans="1:36" s="99" customFormat="1">
      <c r="A166" s="65">
        <f>IF(F166&lt;&gt;"",1+MAX($A$2:A165),"")</f>
        <v>135</v>
      </c>
      <c r="B166" s="56"/>
      <c r="C166" s="107"/>
      <c r="D166" s="57" t="s">
        <v>176</v>
      </c>
      <c r="E166" s="81">
        <v>2</v>
      </c>
      <c r="F166" s="108">
        <v>0</v>
      </c>
      <c r="G166" s="109">
        <f t="shared" si="132"/>
        <v>2</v>
      </c>
      <c r="H166" s="79" t="s">
        <v>43</v>
      </c>
      <c r="I166" s="71">
        <v>0.3</v>
      </c>
      <c r="J166" s="72">
        <f t="shared" si="133"/>
        <v>0.6</v>
      </c>
      <c r="K166" s="73">
        <f>'LABOR SHEET'!C$3</f>
        <v>46.5</v>
      </c>
      <c r="L166" s="74">
        <f t="shared" si="134"/>
        <v>13.95</v>
      </c>
      <c r="M166" s="74">
        <f t="shared" si="135"/>
        <v>27.9</v>
      </c>
      <c r="N166" s="74">
        <v>30</v>
      </c>
      <c r="O166" s="74">
        <f t="shared" si="136"/>
        <v>60</v>
      </c>
      <c r="P166" s="74">
        <f t="shared" si="137"/>
        <v>43.95</v>
      </c>
      <c r="Q166" s="58">
        <f t="shared" si="138"/>
        <v>87.9</v>
      </c>
      <c r="R166" s="106"/>
      <c r="S166" s="106"/>
      <c r="T166" s="106"/>
      <c r="U166" s="106"/>
      <c r="V166" s="106"/>
      <c r="W166" s="106"/>
      <c r="X166" s="106"/>
      <c r="Y166" s="106"/>
      <c r="Z166" s="106"/>
      <c r="AA166" s="106"/>
      <c r="AB166" s="106"/>
      <c r="AC166" s="106"/>
      <c r="AD166" s="106"/>
      <c r="AE166" s="106"/>
      <c r="AF166" s="106"/>
      <c r="AG166" s="106"/>
      <c r="AH166" s="106"/>
      <c r="AI166" s="106"/>
      <c r="AJ166" s="106"/>
    </row>
    <row r="167" spans="1:36" s="99" customFormat="1">
      <c r="A167" s="77">
        <f>IF(F167&lt;&gt;"",1+MAX($A$2:A166),"")</f>
        <v>136</v>
      </c>
      <c r="B167" s="56"/>
      <c r="C167" s="107"/>
      <c r="D167" s="57" t="s">
        <v>177</v>
      </c>
      <c r="E167" s="81">
        <v>2</v>
      </c>
      <c r="F167" s="108">
        <v>0</v>
      </c>
      <c r="G167" s="109">
        <f t="shared" si="132"/>
        <v>2</v>
      </c>
      <c r="H167" s="79" t="s">
        <v>43</v>
      </c>
      <c r="I167" s="71">
        <v>0.35</v>
      </c>
      <c r="J167" s="72">
        <f t="shared" si="133"/>
        <v>0.7</v>
      </c>
      <c r="K167" s="73">
        <f>'LABOR SHEET'!C$3</f>
        <v>46.5</v>
      </c>
      <c r="L167" s="74">
        <f t="shared" si="134"/>
        <v>16.274999999999999</v>
      </c>
      <c r="M167" s="74">
        <f t="shared" si="135"/>
        <v>32.549999999999997</v>
      </c>
      <c r="N167" s="74">
        <v>30</v>
      </c>
      <c r="O167" s="74">
        <f t="shared" si="136"/>
        <v>60</v>
      </c>
      <c r="P167" s="74">
        <f t="shared" si="137"/>
        <v>46.274999999999999</v>
      </c>
      <c r="Q167" s="58">
        <f t="shared" si="138"/>
        <v>92.55</v>
      </c>
      <c r="R167" s="106"/>
      <c r="S167" s="106"/>
      <c r="T167" s="106"/>
      <c r="U167" s="106"/>
      <c r="V167" s="106"/>
      <c r="W167" s="106"/>
      <c r="X167" s="106"/>
      <c r="Y167" s="106"/>
      <c r="Z167" s="106"/>
      <c r="AA167" s="106"/>
      <c r="AB167" s="106"/>
      <c r="AC167" s="106"/>
      <c r="AD167" s="106"/>
      <c r="AE167" s="106"/>
      <c r="AF167" s="106"/>
      <c r="AG167" s="106"/>
      <c r="AH167" s="106"/>
      <c r="AI167" s="106"/>
      <c r="AJ167" s="106"/>
    </row>
    <row r="168" spans="1:36" s="99" customFormat="1">
      <c r="A168" s="65">
        <f>IF(F168&lt;&gt;"",1+MAX($A$2:A167),"")</f>
        <v>137</v>
      </c>
      <c r="B168" s="56"/>
      <c r="C168" s="107"/>
      <c r="D168" s="57" t="s">
        <v>178</v>
      </c>
      <c r="E168" s="81">
        <v>1</v>
      </c>
      <c r="F168" s="108">
        <v>0</v>
      </c>
      <c r="G168" s="109">
        <f t="shared" si="132"/>
        <v>1</v>
      </c>
      <c r="H168" s="79" t="s">
        <v>43</v>
      </c>
      <c r="I168" s="71">
        <v>0.38</v>
      </c>
      <c r="J168" s="72">
        <f t="shared" si="133"/>
        <v>0.38</v>
      </c>
      <c r="K168" s="73">
        <f>'LABOR SHEET'!C$3</f>
        <v>46.5</v>
      </c>
      <c r="L168" s="74">
        <f t="shared" si="134"/>
        <v>17.670000000000002</v>
      </c>
      <c r="M168" s="74">
        <f t="shared" si="135"/>
        <v>17.670000000000002</v>
      </c>
      <c r="N168" s="74">
        <v>30</v>
      </c>
      <c r="O168" s="74">
        <f t="shared" si="136"/>
        <v>30</v>
      </c>
      <c r="P168" s="74">
        <f t="shared" si="137"/>
        <v>47.67</v>
      </c>
      <c r="Q168" s="58">
        <f t="shared" si="138"/>
        <v>47.67</v>
      </c>
      <c r="R168" s="106"/>
      <c r="S168" s="106"/>
      <c r="T168" s="106"/>
      <c r="U168" s="106"/>
      <c r="V168" s="106"/>
      <c r="W168" s="106"/>
      <c r="X168" s="106"/>
      <c r="Y168" s="106"/>
      <c r="Z168" s="106"/>
      <c r="AA168" s="106"/>
      <c r="AB168" s="106"/>
      <c r="AC168" s="106"/>
      <c r="AD168" s="106"/>
      <c r="AE168" s="106"/>
      <c r="AF168" s="106"/>
      <c r="AG168" s="106"/>
      <c r="AH168" s="106"/>
      <c r="AI168" s="106"/>
      <c r="AJ168" s="106"/>
    </row>
    <row r="169" spans="1:36" s="99" customFormat="1">
      <c r="A169" s="77">
        <f>IF(F169&lt;&gt;"",1+MAX($A$2:A168),"")</f>
        <v>138</v>
      </c>
      <c r="B169" s="56"/>
      <c r="C169" s="107"/>
      <c r="D169" s="57" t="s">
        <v>179</v>
      </c>
      <c r="E169" s="81">
        <v>1</v>
      </c>
      <c r="F169" s="108">
        <v>0</v>
      </c>
      <c r="G169" s="109">
        <f t="shared" si="132"/>
        <v>1</v>
      </c>
      <c r="H169" s="79" t="s">
        <v>43</v>
      </c>
      <c r="I169" s="71">
        <v>0.3</v>
      </c>
      <c r="J169" s="72">
        <f t="shared" si="133"/>
        <v>0.3</v>
      </c>
      <c r="K169" s="73">
        <f>'LABOR SHEET'!C$3</f>
        <v>46.5</v>
      </c>
      <c r="L169" s="74">
        <f t="shared" si="134"/>
        <v>13.95</v>
      </c>
      <c r="M169" s="74">
        <f t="shared" si="135"/>
        <v>13.95</v>
      </c>
      <c r="N169" s="74">
        <v>40</v>
      </c>
      <c r="O169" s="74">
        <f t="shared" si="136"/>
        <v>40</v>
      </c>
      <c r="P169" s="74">
        <f t="shared" si="137"/>
        <v>53.95</v>
      </c>
      <c r="Q169" s="58">
        <f t="shared" si="138"/>
        <v>53.95</v>
      </c>
      <c r="R169" s="106"/>
      <c r="S169" s="106"/>
      <c r="T169" s="106"/>
      <c r="U169" s="106"/>
      <c r="V169" s="106"/>
      <c r="W169" s="106"/>
      <c r="X169" s="106"/>
      <c r="Y169" s="106"/>
      <c r="Z169" s="106"/>
      <c r="AA169" s="106"/>
      <c r="AB169" s="106"/>
      <c r="AC169" s="106"/>
      <c r="AD169" s="106"/>
      <c r="AE169" s="106"/>
      <c r="AF169" s="106"/>
      <c r="AG169" s="106"/>
      <c r="AH169" s="106"/>
      <c r="AI169" s="106"/>
      <c r="AJ169" s="106"/>
    </row>
    <row r="170" spans="1:36" s="99" customFormat="1">
      <c r="A170" s="65">
        <f>IF(F170&lt;&gt;"",1+MAX($A$2:A169),"")</f>
        <v>139</v>
      </c>
      <c r="B170" s="56"/>
      <c r="C170" s="107"/>
      <c r="D170" s="57" t="s">
        <v>180</v>
      </c>
      <c r="E170" s="81">
        <v>2</v>
      </c>
      <c r="F170" s="108">
        <v>0</v>
      </c>
      <c r="G170" s="109">
        <f t="shared" si="132"/>
        <v>2</v>
      </c>
      <c r="H170" s="79" t="s">
        <v>43</v>
      </c>
      <c r="I170" s="71">
        <v>0.38</v>
      </c>
      <c r="J170" s="72">
        <f t="shared" si="133"/>
        <v>0.76</v>
      </c>
      <c r="K170" s="73">
        <f>'LABOR SHEET'!C$3</f>
        <v>46.5</v>
      </c>
      <c r="L170" s="74">
        <f t="shared" si="134"/>
        <v>17.670000000000002</v>
      </c>
      <c r="M170" s="74">
        <f t="shared" si="135"/>
        <v>35.340000000000003</v>
      </c>
      <c r="N170" s="74">
        <v>50</v>
      </c>
      <c r="O170" s="74">
        <f t="shared" si="136"/>
        <v>100</v>
      </c>
      <c r="P170" s="74">
        <f t="shared" si="137"/>
        <v>67.67</v>
      </c>
      <c r="Q170" s="58">
        <f t="shared" si="138"/>
        <v>135.34</v>
      </c>
      <c r="R170" s="106"/>
      <c r="S170" s="106"/>
      <c r="T170" s="106"/>
      <c r="U170" s="106"/>
      <c r="V170" s="106"/>
      <c r="W170" s="106"/>
      <c r="X170" s="106"/>
      <c r="Y170" s="106"/>
      <c r="Z170" s="106"/>
      <c r="AA170" s="106"/>
      <c r="AB170" s="106"/>
      <c r="AC170" s="106"/>
      <c r="AD170" s="106"/>
      <c r="AE170" s="106"/>
      <c r="AF170" s="106"/>
      <c r="AG170" s="106"/>
      <c r="AH170" s="106"/>
      <c r="AI170" s="106"/>
      <c r="AJ170" s="106"/>
    </row>
    <row r="171" spans="1:36" s="99" customFormat="1">
      <c r="A171" s="77">
        <f>IF(F171&lt;&gt;"",1+MAX($A$2:A170),"")</f>
        <v>140</v>
      </c>
      <c r="B171" s="56"/>
      <c r="C171" s="107"/>
      <c r="D171" s="57" t="s">
        <v>181</v>
      </c>
      <c r="E171" s="81">
        <v>2</v>
      </c>
      <c r="F171" s="108">
        <v>0</v>
      </c>
      <c r="G171" s="109">
        <f t="shared" si="132"/>
        <v>2</v>
      </c>
      <c r="H171" s="79" t="s">
        <v>43</v>
      </c>
      <c r="I171" s="71">
        <v>0.4</v>
      </c>
      <c r="J171" s="72">
        <f t="shared" si="133"/>
        <v>0.8</v>
      </c>
      <c r="K171" s="73">
        <f>'LABOR SHEET'!C$3</f>
        <v>46.5</v>
      </c>
      <c r="L171" s="74">
        <f t="shared" si="134"/>
        <v>18.600000000000001</v>
      </c>
      <c r="M171" s="74">
        <f t="shared" si="135"/>
        <v>37.200000000000003</v>
      </c>
      <c r="N171" s="74">
        <v>50</v>
      </c>
      <c r="O171" s="74">
        <f t="shared" si="136"/>
        <v>100</v>
      </c>
      <c r="P171" s="74">
        <f t="shared" si="137"/>
        <v>68.599999999999994</v>
      </c>
      <c r="Q171" s="58">
        <f t="shared" si="138"/>
        <v>137.19999999999999</v>
      </c>
      <c r="R171" s="106"/>
      <c r="S171" s="106"/>
      <c r="T171" s="106"/>
      <c r="U171" s="106"/>
      <c r="V171" s="106"/>
      <c r="W171" s="106"/>
      <c r="X171" s="106"/>
      <c r="Y171" s="106"/>
      <c r="Z171" s="106"/>
      <c r="AA171" s="106"/>
      <c r="AB171" s="106"/>
      <c r="AC171" s="106"/>
      <c r="AD171" s="106"/>
      <c r="AE171" s="106"/>
      <c r="AF171" s="106"/>
      <c r="AG171" s="106"/>
      <c r="AH171" s="106"/>
      <c r="AI171" s="106"/>
      <c r="AJ171" s="106"/>
    </row>
    <row r="172" spans="1:36" s="99" customFormat="1">
      <c r="A172" s="65">
        <f>IF(F172&lt;&gt;"",1+MAX($A$2:A171),"")</f>
        <v>141</v>
      </c>
      <c r="B172" s="56"/>
      <c r="C172" s="107"/>
      <c r="D172" s="57" t="s">
        <v>182</v>
      </c>
      <c r="E172" s="81">
        <v>1</v>
      </c>
      <c r="F172" s="108">
        <v>0</v>
      </c>
      <c r="G172" s="109">
        <f t="shared" si="132"/>
        <v>1</v>
      </c>
      <c r="H172" s="79" t="s">
        <v>43</v>
      </c>
      <c r="I172" s="71">
        <v>0.42</v>
      </c>
      <c r="J172" s="72">
        <f t="shared" si="133"/>
        <v>0.42</v>
      </c>
      <c r="K172" s="73">
        <f>'LABOR SHEET'!C$3</f>
        <v>46.5</v>
      </c>
      <c r="L172" s="74">
        <f t="shared" si="134"/>
        <v>19.529999999999998</v>
      </c>
      <c r="M172" s="74">
        <f t="shared" si="135"/>
        <v>19.529999999999998</v>
      </c>
      <c r="N172" s="74">
        <v>60</v>
      </c>
      <c r="O172" s="74">
        <f t="shared" si="136"/>
        <v>60</v>
      </c>
      <c r="P172" s="74">
        <f t="shared" si="137"/>
        <v>79.53</v>
      </c>
      <c r="Q172" s="58">
        <f t="shared" si="138"/>
        <v>79.53</v>
      </c>
      <c r="R172" s="106"/>
      <c r="S172" s="106"/>
      <c r="T172" s="106"/>
      <c r="U172" s="106"/>
      <c r="V172" s="106"/>
      <c r="W172" s="106"/>
      <c r="X172" s="106"/>
      <c r="Y172" s="106"/>
      <c r="Z172" s="106"/>
      <c r="AA172" s="106"/>
      <c r="AB172" s="106"/>
      <c r="AC172" s="106"/>
      <c r="AD172" s="106"/>
      <c r="AE172" s="106"/>
      <c r="AF172" s="106"/>
      <c r="AG172" s="106"/>
      <c r="AH172" s="106"/>
      <c r="AI172" s="106"/>
      <c r="AJ172" s="106"/>
    </row>
    <row r="173" spans="1:36" s="99" customFormat="1">
      <c r="A173" s="77">
        <f>IF(F173&lt;&gt;"",1+MAX($A$2:A172),"")</f>
        <v>142</v>
      </c>
      <c r="B173" s="56"/>
      <c r="C173" s="107"/>
      <c r="D173" s="57" t="s">
        <v>183</v>
      </c>
      <c r="E173" s="81">
        <v>6</v>
      </c>
      <c r="F173" s="108">
        <v>0</v>
      </c>
      <c r="G173" s="109">
        <f t="shared" si="132"/>
        <v>6</v>
      </c>
      <c r="H173" s="79" t="s">
        <v>43</v>
      </c>
      <c r="I173" s="71">
        <v>0.45</v>
      </c>
      <c r="J173" s="72">
        <f t="shared" si="133"/>
        <v>2.7</v>
      </c>
      <c r="K173" s="73">
        <f>'LABOR SHEET'!C$3</f>
        <v>46.5</v>
      </c>
      <c r="L173" s="74">
        <f t="shared" si="134"/>
        <v>20.925000000000001</v>
      </c>
      <c r="M173" s="74">
        <f t="shared" si="135"/>
        <v>125.55000000000001</v>
      </c>
      <c r="N173" s="74">
        <v>70</v>
      </c>
      <c r="O173" s="74">
        <f t="shared" si="136"/>
        <v>420</v>
      </c>
      <c r="P173" s="74">
        <f t="shared" si="137"/>
        <v>90.924999999999997</v>
      </c>
      <c r="Q173" s="58">
        <f t="shared" si="138"/>
        <v>545.54999999999995</v>
      </c>
      <c r="R173" s="106"/>
      <c r="S173" s="106"/>
      <c r="T173" s="106"/>
      <c r="U173" s="106"/>
      <c r="V173" s="106"/>
      <c r="W173" s="106"/>
      <c r="X173" s="106"/>
      <c r="Y173" s="106"/>
      <c r="Z173" s="106"/>
      <c r="AA173" s="106"/>
      <c r="AB173" s="106"/>
      <c r="AC173" s="106"/>
      <c r="AD173" s="106"/>
      <c r="AE173" s="106"/>
      <c r="AF173" s="106"/>
      <c r="AG173" s="106"/>
      <c r="AH173" s="106"/>
      <c r="AI173" s="106"/>
      <c r="AJ173" s="106"/>
    </row>
    <row r="174" spans="1:36" s="99" customFormat="1">
      <c r="A174" s="65">
        <f>IF(F174&lt;&gt;"",1+MAX($A$2:A173),"")</f>
        <v>143</v>
      </c>
      <c r="B174" s="56"/>
      <c r="C174" s="107"/>
      <c r="D174" s="57" t="s">
        <v>184</v>
      </c>
      <c r="E174" s="81">
        <v>5</v>
      </c>
      <c r="F174" s="108">
        <v>0</v>
      </c>
      <c r="G174" s="109">
        <f t="shared" si="132"/>
        <v>5</v>
      </c>
      <c r="H174" s="79" t="s">
        <v>43</v>
      </c>
      <c r="I174" s="71">
        <v>0.48</v>
      </c>
      <c r="J174" s="72">
        <f t="shared" si="133"/>
        <v>2.4</v>
      </c>
      <c r="K174" s="73">
        <f>'LABOR SHEET'!C$3</f>
        <v>46.5</v>
      </c>
      <c r="L174" s="74">
        <f t="shared" si="134"/>
        <v>22.32</v>
      </c>
      <c r="M174" s="74">
        <f t="shared" si="135"/>
        <v>111.6</v>
      </c>
      <c r="N174" s="74">
        <v>80</v>
      </c>
      <c r="O174" s="74">
        <f t="shared" si="136"/>
        <v>400</v>
      </c>
      <c r="P174" s="74">
        <f t="shared" si="137"/>
        <v>102.32</v>
      </c>
      <c r="Q174" s="58">
        <f t="shared" si="138"/>
        <v>511.59999999999997</v>
      </c>
      <c r="R174" s="106"/>
      <c r="S174" s="106"/>
      <c r="T174" s="106"/>
      <c r="U174" s="106"/>
      <c r="V174" s="106"/>
      <c r="W174" s="106"/>
      <c r="X174" s="106"/>
      <c r="Y174" s="106"/>
      <c r="Z174" s="106"/>
      <c r="AA174" s="106"/>
      <c r="AB174" s="106"/>
      <c r="AC174" s="106"/>
      <c r="AD174" s="106"/>
      <c r="AE174" s="106"/>
      <c r="AF174" s="106"/>
      <c r="AG174" s="106"/>
      <c r="AH174" s="106"/>
      <c r="AI174" s="106"/>
      <c r="AJ174" s="106"/>
    </row>
    <row r="175" spans="1:36" s="99" customFormat="1">
      <c r="A175" s="77">
        <f>IF(F175&lt;&gt;"",1+MAX($A$2:A174),"")</f>
        <v>144</v>
      </c>
      <c r="B175" s="56"/>
      <c r="C175" s="107"/>
      <c r="D175" s="57" t="s">
        <v>185</v>
      </c>
      <c r="E175" s="81">
        <v>2</v>
      </c>
      <c r="F175" s="108">
        <v>0</v>
      </c>
      <c r="G175" s="109">
        <f t="shared" si="132"/>
        <v>2</v>
      </c>
      <c r="H175" s="79" t="s">
        <v>43</v>
      </c>
      <c r="I175" s="71">
        <v>0.3</v>
      </c>
      <c r="J175" s="72">
        <f t="shared" si="133"/>
        <v>0.6</v>
      </c>
      <c r="K175" s="73">
        <f>'LABOR SHEET'!C$3</f>
        <v>46.5</v>
      </c>
      <c r="L175" s="74">
        <f t="shared" si="134"/>
        <v>13.95</v>
      </c>
      <c r="M175" s="74">
        <f t="shared" si="135"/>
        <v>27.9</v>
      </c>
      <c r="N175" s="74">
        <v>30</v>
      </c>
      <c r="O175" s="74">
        <f t="shared" si="136"/>
        <v>60</v>
      </c>
      <c r="P175" s="74">
        <f t="shared" si="137"/>
        <v>43.95</v>
      </c>
      <c r="Q175" s="58">
        <f t="shared" si="138"/>
        <v>87.9</v>
      </c>
      <c r="R175" s="106"/>
      <c r="S175" s="106"/>
      <c r="T175" s="106"/>
      <c r="U175" s="106"/>
      <c r="V175" s="106"/>
      <c r="W175" s="106"/>
      <c r="X175" s="106"/>
      <c r="Y175" s="106"/>
      <c r="Z175" s="106"/>
      <c r="AA175" s="106"/>
      <c r="AB175" s="106"/>
      <c r="AC175" s="106"/>
      <c r="AD175" s="106"/>
      <c r="AE175" s="106"/>
      <c r="AF175" s="106"/>
      <c r="AG175" s="106"/>
      <c r="AH175" s="106"/>
      <c r="AI175" s="106"/>
      <c r="AJ175" s="106"/>
    </row>
    <row r="176" spans="1:36" s="99" customFormat="1">
      <c r="A176" s="65">
        <f>IF(F176&lt;&gt;"",1+MAX($A$2:A175),"")</f>
        <v>145</v>
      </c>
      <c r="B176" s="56"/>
      <c r="C176" s="107"/>
      <c r="D176" s="57" t="s">
        <v>186</v>
      </c>
      <c r="E176" s="81">
        <v>1</v>
      </c>
      <c r="F176" s="108">
        <v>0</v>
      </c>
      <c r="G176" s="109">
        <f t="shared" si="132"/>
        <v>1</v>
      </c>
      <c r="H176" s="79" t="s">
        <v>43</v>
      </c>
      <c r="I176" s="71">
        <v>0.35</v>
      </c>
      <c r="J176" s="72">
        <f t="shared" si="133"/>
        <v>0.35</v>
      </c>
      <c r="K176" s="73">
        <f>'LABOR SHEET'!C$3</f>
        <v>46.5</v>
      </c>
      <c r="L176" s="74">
        <f t="shared" si="134"/>
        <v>16.274999999999999</v>
      </c>
      <c r="M176" s="74">
        <f t="shared" si="135"/>
        <v>16.274999999999999</v>
      </c>
      <c r="N176" s="74">
        <v>50</v>
      </c>
      <c r="O176" s="74">
        <f t="shared" si="136"/>
        <v>50</v>
      </c>
      <c r="P176" s="74">
        <f t="shared" si="137"/>
        <v>66.275000000000006</v>
      </c>
      <c r="Q176" s="58">
        <f t="shared" si="138"/>
        <v>66.275000000000006</v>
      </c>
      <c r="R176" s="106"/>
      <c r="S176" s="106"/>
      <c r="T176" s="106"/>
      <c r="U176" s="106"/>
      <c r="V176" s="106"/>
      <c r="W176" s="106"/>
      <c r="X176" s="106"/>
      <c r="Y176" s="106"/>
      <c r="Z176" s="106"/>
      <c r="AA176" s="106"/>
      <c r="AB176" s="106"/>
      <c r="AC176" s="106"/>
      <c r="AD176" s="106"/>
      <c r="AE176" s="106"/>
      <c r="AF176" s="106"/>
      <c r="AG176" s="106"/>
      <c r="AH176" s="106"/>
      <c r="AI176" s="106"/>
      <c r="AJ176" s="106"/>
    </row>
    <row r="177" spans="1:36" s="99" customFormat="1">
      <c r="A177" s="77">
        <f>IF(F177&lt;&gt;"",1+MAX($A$2:A176),"")</f>
        <v>146</v>
      </c>
      <c r="B177" s="56"/>
      <c r="C177" s="107"/>
      <c r="D177" s="57" t="s">
        <v>187</v>
      </c>
      <c r="E177" s="81">
        <v>3</v>
      </c>
      <c r="F177" s="108">
        <v>0</v>
      </c>
      <c r="G177" s="109">
        <f t="shared" si="132"/>
        <v>3</v>
      </c>
      <c r="H177" s="79" t="s">
        <v>43</v>
      </c>
      <c r="I177" s="71">
        <v>0.3</v>
      </c>
      <c r="J177" s="72">
        <f t="shared" si="133"/>
        <v>0.89999999999999991</v>
      </c>
      <c r="K177" s="73">
        <f>'LABOR SHEET'!C$3</f>
        <v>46.5</v>
      </c>
      <c r="L177" s="74">
        <f t="shared" si="134"/>
        <v>13.95</v>
      </c>
      <c r="M177" s="74">
        <f t="shared" si="135"/>
        <v>41.849999999999994</v>
      </c>
      <c r="N177" s="74">
        <v>50</v>
      </c>
      <c r="O177" s="74">
        <f t="shared" si="136"/>
        <v>150</v>
      </c>
      <c r="P177" s="74">
        <f t="shared" si="137"/>
        <v>63.95</v>
      </c>
      <c r="Q177" s="58">
        <f t="shared" si="138"/>
        <v>191.85000000000002</v>
      </c>
      <c r="R177" s="106"/>
      <c r="S177" s="106"/>
      <c r="T177" s="106"/>
      <c r="U177" s="106"/>
      <c r="V177" s="106"/>
      <c r="W177" s="106"/>
      <c r="X177" s="106"/>
      <c r="Y177" s="106"/>
      <c r="Z177" s="106"/>
      <c r="AA177" s="106"/>
      <c r="AB177" s="106"/>
      <c r="AC177" s="106"/>
      <c r="AD177" s="106"/>
      <c r="AE177" s="106"/>
      <c r="AF177" s="106"/>
      <c r="AG177" s="106"/>
      <c r="AH177" s="106"/>
      <c r="AI177" s="106"/>
      <c r="AJ177" s="106"/>
    </row>
    <row r="178" spans="1:36" s="99" customFormat="1">
      <c r="A178" s="65">
        <f>IF(F178&lt;&gt;"",1+MAX($A$2:A177),"")</f>
        <v>147</v>
      </c>
      <c r="B178" s="56"/>
      <c r="C178" s="107"/>
      <c r="D178" s="57" t="s">
        <v>188</v>
      </c>
      <c r="E178" s="81">
        <v>2</v>
      </c>
      <c r="F178" s="108">
        <v>0</v>
      </c>
      <c r="G178" s="109">
        <f t="shared" si="132"/>
        <v>2</v>
      </c>
      <c r="H178" s="79" t="s">
        <v>43</v>
      </c>
      <c r="I178" s="71">
        <v>0.35</v>
      </c>
      <c r="J178" s="72">
        <f t="shared" si="133"/>
        <v>0.7</v>
      </c>
      <c r="K178" s="73">
        <f>'LABOR SHEET'!C$3</f>
        <v>46.5</v>
      </c>
      <c r="L178" s="74">
        <f t="shared" si="134"/>
        <v>16.274999999999999</v>
      </c>
      <c r="M178" s="74">
        <f t="shared" si="135"/>
        <v>32.549999999999997</v>
      </c>
      <c r="N178" s="74">
        <v>50</v>
      </c>
      <c r="O178" s="74">
        <f t="shared" si="136"/>
        <v>100</v>
      </c>
      <c r="P178" s="74">
        <f t="shared" si="137"/>
        <v>66.275000000000006</v>
      </c>
      <c r="Q178" s="58">
        <f t="shared" si="138"/>
        <v>132.55000000000001</v>
      </c>
      <c r="R178" s="106"/>
      <c r="S178" s="106"/>
      <c r="T178" s="106"/>
      <c r="U178" s="106"/>
      <c r="V178" s="106"/>
      <c r="W178" s="106"/>
      <c r="X178" s="106"/>
      <c r="Y178" s="106"/>
      <c r="Z178" s="106"/>
      <c r="AA178" s="106"/>
      <c r="AB178" s="106"/>
      <c r="AC178" s="106"/>
      <c r="AD178" s="106"/>
      <c r="AE178" s="106"/>
      <c r="AF178" s="106"/>
      <c r="AG178" s="106"/>
      <c r="AH178" s="106"/>
      <c r="AI178" s="106"/>
      <c r="AJ178" s="106"/>
    </row>
    <row r="179" spans="1:36" s="99" customFormat="1">
      <c r="A179" s="77">
        <f>IF(F179&lt;&gt;"",1+MAX($A$2:A178),"")</f>
        <v>148</v>
      </c>
      <c r="B179" s="56"/>
      <c r="C179" s="107"/>
      <c r="D179" s="57" t="s">
        <v>189</v>
      </c>
      <c r="E179" s="81">
        <v>1</v>
      </c>
      <c r="F179" s="108">
        <v>0</v>
      </c>
      <c r="G179" s="109">
        <f t="shared" si="132"/>
        <v>1</v>
      </c>
      <c r="H179" s="79" t="s">
        <v>43</v>
      </c>
      <c r="I179" s="71">
        <v>0.35</v>
      </c>
      <c r="J179" s="72">
        <f t="shared" si="133"/>
        <v>0.35</v>
      </c>
      <c r="K179" s="73">
        <f>'LABOR SHEET'!C$3</f>
        <v>46.5</v>
      </c>
      <c r="L179" s="74">
        <f t="shared" si="134"/>
        <v>16.274999999999999</v>
      </c>
      <c r="M179" s="74">
        <f t="shared" si="135"/>
        <v>16.274999999999999</v>
      </c>
      <c r="N179" s="74">
        <v>70</v>
      </c>
      <c r="O179" s="74">
        <f t="shared" si="136"/>
        <v>70</v>
      </c>
      <c r="P179" s="74">
        <f t="shared" si="137"/>
        <v>86.275000000000006</v>
      </c>
      <c r="Q179" s="58">
        <f t="shared" si="138"/>
        <v>86.275000000000006</v>
      </c>
      <c r="R179" s="106"/>
      <c r="S179" s="106"/>
      <c r="T179" s="106"/>
      <c r="U179" s="106"/>
      <c r="V179" s="106"/>
      <c r="W179" s="106"/>
      <c r="X179" s="106"/>
      <c r="Y179" s="106"/>
      <c r="Z179" s="106"/>
      <c r="AA179" s="106"/>
      <c r="AB179" s="106"/>
      <c r="AC179" s="106"/>
      <c r="AD179" s="106"/>
      <c r="AE179" s="106"/>
      <c r="AF179" s="106"/>
      <c r="AG179" s="106"/>
      <c r="AH179" s="106"/>
      <c r="AI179" s="106"/>
      <c r="AJ179" s="106"/>
    </row>
    <row r="180" spans="1:36" s="99" customFormat="1">
      <c r="A180" s="65">
        <f>IF(F180&lt;&gt;"",1+MAX($A$2:A179),"")</f>
        <v>149</v>
      </c>
      <c r="B180" s="56"/>
      <c r="C180" s="107"/>
      <c r="D180" s="57" t="s">
        <v>190</v>
      </c>
      <c r="E180" s="81">
        <v>1</v>
      </c>
      <c r="F180" s="108">
        <v>0</v>
      </c>
      <c r="G180" s="109">
        <f t="shared" si="132"/>
        <v>1</v>
      </c>
      <c r="H180" s="79" t="s">
        <v>43</v>
      </c>
      <c r="I180" s="71">
        <v>0.38</v>
      </c>
      <c r="J180" s="72">
        <f t="shared" si="133"/>
        <v>0.38</v>
      </c>
      <c r="K180" s="73">
        <f>'LABOR SHEET'!C$3</f>
        <v>46.5</v>
      </c>
      <c r="L180" s="74">
        <f t="shared" si="134"/>
        <v>17.670000000000002</v>
      </c>
      <c r="M180" s="74">
        <f t="shared" si="135"/>
        <v>17.670000000000002</v>
      </c>
      <c r="N180" s="74">
        <v>80</v>
      </c>
      <c r="O180" s="74">
        <f t="shared" si="136"/>
        <v>80</v>
      </c>
      <c r="P180" s="74">
        <f t="shared" si="137"/>
        <v>97.67</v>
      </c>
      <c r="Q180" s="58">
        <f t="shared" si="138"/>
        <v>97.67</v>
      </c>
      <c r="R180" s="106"/>
      <c r="S180" s="106"/>
      <c r="T180" s="106"/>
      <c r="U180" s="106"/>
      <c r="V180" s="106"/>
      <c r="W180" s="106"/>
      <c r="X180" s="106"/>
      <c r="Y180" s="106"/>
      <c r="Z180" s="106"/>
      <c r="AA180" s="106"/>
      <c r="AB180" s="106"/>
      <c r="AC180" s="106"/>
      <c r="AD180" s="106"/>
      <c r="AE180" s="106"/>
      <c r="AF180" s="106"/>
      <c r="AG180" s="106"/>
      <c r="AH180" s="106"/>
      <c r="AI180" s="106"/>
      <c r="AJ180" s="106"/>
    </row>
    <row r="181" spans="1:36" s="99" customFormat="1">
      <c r="A181" s="77">
        <f>IF(F181&lt;&gt;"",1+MAX($A$2:A180),"")</f>
        <v>150</v>
      </c>
      <c r="B181" s="56"/>
      <c r="C181" s="107"/>
      <c r="D181" s="57" t="s">
        <v>191</v>
      </c>
      <c r="E181" s="81">
        <v>1</v>
      </c>
      <c r="F181" s="108">
        <v>0</v>
      </c>
      <c r="G181" s="109">
        <f t="shared" si="132"/>
        <v>1</v>
      </c>
      <c r="H181" s="79" t="s">
        <v>43</v>
      </c>
      <c r="I181" s="71">
        <v>0.39</v>
      </c>
      <c r="J181" s="72">
        <f t="shared" si="133"/>
        <v>0.39</v>
      </c>
      <c r="K181" s="73">
        <f>'LABOR SHEET'!C$3</f>
        <v>46.5</v>
      </c>
      <c r="L181" s="74">
        <f t="shared" si="134"/>
        <v>18.135000000000002</v>
      </c>
      <c r="M181" s="74">
        <f t="shared" si="135"/>
        <v>18.135000000000002</v>
      </c>
      <c r="N181" s="74">
        <v>90</v>
      </c>
      <c r="O181" s="74">
        <f t="shared" si="136"/>
        <v>90</v>
      </c>
      <c r="P181" s="74">
        <f t="shared" si="137"/>
        <v>108.13500000000001</v>
      </c>
      <c r="Q181" s="58">
        <f t="shared" si="138"/>
        <v>108.13500000000001</v>
      </c>
      <c r="R181" s="106"/>
      <c r="S181" s="106"/>
      <c r="T181" s="106"/>
      <c r="U181" s="106"/>
      <c r="V181" s="106"/>
      <c r="W181" s="106"/>
      <c r="X181" s="106"/>
      <c r="Y181" s="106"/>
      <c r="Z181" s="106"/>
      <c r="AA181" s="106"/>
      <c r="AB181" s="106"/>
      <c r="AC181" s="106"/>
      <c r="AD181" s="106"/>
      <c r="AE181" s="106"/>
      <c r="AF181" s="106"/>
      <c r="AG181" s="106"/>
      <c r="AH181" s="106"/>
      <c r="AI181" s="106"/>
      <c r="AJ181" s="106"/>
    </row>
    <row r="182" spans="1:36" s="99" customFormat="1">
      <c r="A182" s="65">
        <f>IF(F182&lt;&gt;"",1+MAX($A$2:A181),"")</f>
        <v>151</v>
      </c>
      <c r="B182" s="56"/>
      <c r="C182" s="107"/>
      <c r="D182" s="57" t="s">
        <v>192</v>
      </c>
      <c r="E182" s="81">
        <v>1</v>
      </c>
      <c r="F182" s="108">
        <v>0</v>
      </c>
      <c r="G182" s="109">
        <f t="shared" si="132"/>
        <v>1</v>
      </c>
      <c r="H182" s="79" t="s">
        <v>43</v>
      </c>
      <c r="I182" s="71">
        <v>0.42</v>
      </c>
      <c r="J182" s="72">
        <f t="shared" si="133"/>
        <v>0.42</v>
      </c>
      <c r="K182" s="73">
        <f>'LABOR SHEET'!C$3</f>
        <v>46.5</v>
      </c>
      <c r="L182" s="74">
        <f t="shared" si="134"/>
        <v>19.529999999999998</v>
      </c>
      <c r="M182" s="74">
        <f t="shared" si="135"/>
        <v>19.529999999999998</v>
      </c>
      <c r="N182" s="74">
        <v>60</v>
      </c>
      <c r="O182" s="74">
        <f t="shared" si="136"/>
        <v>60</v>
      </c>
      <c r="P182" s="74">
        <f t="shared" si="137"/>
        <v>79.53</v>
      </c>
      <c r="Q182" s="58">
        <f t="shared" si="138"/>
        <v>79.53</v>
      </c>
      <c r="R182" s="106"/>
      <c r="S182" s="106"/>
      <c r="T182" s="106"/>
      <c r="U182" s="106"/>
      <c r="V182" s="106"/>
      <c r="W182" s="106"/>
      <c r="X182" s="106"/>
      <c r="Y182" s="106"/>
      <c r="Z182" s="106"/>
      <c r="AA182" s="106"/>
      <c r="AB182" s="106"/>
      <c r="AC182" s="106"/>
      <c r="AD182" s="106"/>
      <c r="AE182" s="106"/>
      <c r="AF182" s="106"/>
      <c r="AG182" s="106"/>
      <c r="AH182" s="106"/>
      <c r="AI182" s="106"/>
      <c r="AJ182" s="106"/>
    </row>
    <row r="183" spans="1:36" s="99" customFormat="1">
      <c r="A183" s="77">
        <f>IF(F183&lt;&gt;"",1+MAX($A$2:A182),"")</f>
        <v>152</v>
      </c>
      <c r="B183" s="56"/>
      <c r="C183" s="107"/>
      <c r="D183" s="57" t="s">
        <v>193</v>
      </c>
      <c r="E183" s="81">
        <v>1</v>
      </c>
      <c r="F183" s="108">
        <v>0</v>
      </c>
      <c r="G183" s="109">
        <f t="shared" si="132"/>
        <v>1</v>
      </c>
      <c r="H183" s="79" t="s">
        <v>43</v>
      </c>
      <c r="I183" s="71">
        <v>0.3</v>
      </c>
      <c r="J183" s="72">
        <f t="shared" si="133"/>
        <v>0.3</v>
      </c>
      <c r="K183" s="73">
        <f>'LABOR SHEET'!C$3</f>
        <v>46.5</v>
      </c>
      <c r="L183" s="74">
        <f t="shared" si="134"/>
        <v>13.95</v>
      </c>
      <c r="M183" s="74">
        <f t="shared" si="135"/>
        <v>13.95</v>
      </c>
      <c r="N183" s="74">
        <v>20</v>
      </c>
      <c r="O183" s="74">
        <f t="shared" si="136"/>
        <v>20</v>
      </c>
      <c r="P183" s="74">
        <f t="shared" si="137"/>
        <v>33.950000000000003</v>
      </c>
      <c r="Q183" s="58">
        <f t="shared" si="138"/>
        <v>33.950000000000003</v>
      </c>
      <c r="R183" s="106"/>
      <c r="S183" s="106"/>
      <c r="T183" s="106"/>
      <c r="U183" s="106"/>
      <c r="V183" s="106"/>
      <c r="W183" s="106"/>
      <c r="X183" s="106"/>
      <c r="Y183" s="106"/>
      <c r="Z183" s="106"/>
      <c r="AA183" s="106"/>
      <c r="AB183" s="106"/>
      <c r="AC183" s="106"/>
      <c r="AD183" s="106"/>
      <c r="AE183" s="106"/>
      <c r="AF183" s="106"/>
      <c r="AG183" s="106"/>
      <c r="AH183" s="106"/>
      <c r="AI183" s="106"/>
      <c r="AJ183" s="106"/>
    </row>
    <row r="184" spans="1:36" s="99" customFormat="1">
      <c r="A184" s="65">
        <f>IF(F184&lt;&gt;"",1+MAX($A$2:A183),"")</f>
        <v>153</v>
      </c>
      <c r="B184" s="56"/>
      <c r="C184" s="107"/>
      <c r="D184" s="57" t="s">
        <v>194</v>
      </c>
      <c r="E184" s="81">
        <v>2</v>
      </c>
      <c r="F184" s="108">
        <v>0</v>
      </c>
      <c r="G184" s="109">
        <f t="shared" si="132"/>
        <v>2</v>
      </c>
      <c r="H184" s="79" t="s">
        <v>43</v>
      </c>
      <c r="I184" s="71">
        <v>0.35</v>
      </c>
      <c r="J184" s="72">
        <f t="shared" si="133"/>
        <v>0.7</v>
      </c>
      <c r="K184" s="73">
        <f>'LABOR SHEET'!C$3</f>
        <v>46.5</v>
      </c>
      <c r="L184" s="74">
        <f t="shared" si="134"/>
        <v>16.274999999999999</v>
      </c>
      <c r="M184" s="74">
        <f t="shared" si="135"/>
        <v>32.549999999999997</v>
      </c>
      <c r="N184" s="74">
        <v>30</v>
      </c>
      <c r="O184" s="74">
        <f t="shared" si="136"/>
        <v>60</v>
      </c>
      <c r="P184" s="74">
        <f t="shared" si="137"/>
        <v>46.274999999999999</v>
      </c>
      <c r="Q184" s="58">
        <f t="shared" si="138"/>
        <v>92.55</v>
      </c>
      <c r="R184" s="106"/>
      <c r="S184" s="106"/>
      <c r="T184" s="106"/>
      <c r="U184" s="106"/>
      <c r="V184" s="106"/>
      <c r="W184" s="106"/>
      <c r="X184" s="106"/>
      <c r="Y184" s="106"/>
      <c r="Z184" s="106"/>
      <c r="AA184" s="106"/>
      <c r="AB184" s="106"/>
      <c r="AC184" s="106"/>
      <c r="AD184" s="106"/>
      <c r="AE184" s="106"/>
      <c r="AF184" s="106"/>
      <c r="AG184" s="106"/>
      <c r="AH184" s="106"/>
      <c r="AI184" s="106"/>
      <c r="AJ184" s="106"/>
    </row>
    <row r="185" spans="1:36" s="99" customFormat="1">
      <c r="A185" s="77">
        <f>IF(F185&lt;&gt;"",1+MAX($A$2:A184),"")</f>
        <v>154</v>
      </c>
      <c r="B185" s="56"/>
      <c r="C185" s="107"/>
      <c r="D185" s="57" t="s">
        <v>195</v>
      </c>
      <c r="E185" s="81">
        <v>2</v>
      </c>
      <c r="F185" s="108">
        <v>0</v>
      </c>
      <c r="G185" s="109">
        <f t="shared" si="132"/>
        <v>2</v>
      </c>
      <c r="H185" s="79" t="s">
        <v>43</v>
      </c>
      <c r="I185" s="71">
        <v>0.38</v>
      </c>
      <c r="J185" s="72">
        <f t="shared" si="133"/>
        <v>0.76</v>
      </c>
      <c r="K185" s="73">
        <f>'LABOR SHEET'!C$3</f>
        <v>46.5</v>
      </c>
      <c r="L185" s="74">
        <f t="shared" si="134"/>
        <v>17.670000000000002</v>
      </c>
      <c r="M185" s="74">
        <f t="shared" si="135"/>
        <v>35.340000000000003</v>
      </c>
      <c r="N185" s="74">
        <v>30</v>
      </c>
      <c r="O185" s="74">
        <f t="shared" si="136"/>
        <v>60</v>
      </c>
      <c r="P185" s="74">
        <f t="shared" si="137"/>
        <v>47.67</v>
      </c>
      <c r="Q185" s="58">
        <f t="shared" si="138"/>
        <v>95.34</v>
      </c>
      <c r="R185" s="106"/>
      <c r="S185" s="106"/>
      <c r="T185" s="106"/>
      <c r="U185" s="106"/>
      <c r="V185" s="106"/>
      <c r="W185" s="106"/>
      <c r="X185" s="106"/>
      <c r="Y185" s="106"/>
      <c r="Z185" s="106"/>
      <c r="AA185" s="106"/>
      <c r="AB185" s="106"/>
      <c r="AC185" s="106"/>
      <c r="AD185" s="106"/>
      <c r="AE185" s="106"/>
      <c r="AF185" s="106"/>
      <c r="AG185" s="106"/>
      <c r="AH185" s="106"/>
      <c r="AI185" s="106"/>
      <c r="AJ185" s="106"/>
    </row>
    <row r="186" spans="1:36" s="99" customFormat="1">
      <c r="A186" s="65">
        <f>IF(F186&lt;&gt;"",1+MAX($A$2:A185),"")</f>
        <v>155</v>
      </c>
      <c r="B186" s="56"/>
      <c r="C186" s="107"/>
      <c r="D186" s="57" t="s">
        <v>196</v>
      </c>
      <c r="E186" s="81">
        <v>1</v>
      </c>
      <c r="F186" s="108">
        <v>0</v>
      </c>
      <c r="G186" s="109">
        <f t="shared" si="132"/>
        <v>1</v>
      </c>
      <c r="H186" s="79" t="s">
        <v>43</v>
      </c>
      <c r="I186" s="71">
        <v>0.4</v>
      </c>
      <c r="J186" s="72">
        <f t="shared" si="133"/>
        <v>0.4</v>
      </c>
      <c r="K186" s="73">
        <f>'LABOR SHEET'!C$3</f>
        <v>46.5</v>
      </c>
      <c r="L186" s="74">
        <f t="shared" si="134"/>
        <v>18.600000000000001</v>
      </c>
      <c r="M186" s="74">
        <f t="shared" si="135"/>
        <v>18.600000000000001</v>
      </c>
      <c r="N186" s="74">
        <v>30</v>
      </c>
      <c r="O186" s="74">
        <f t="shared" si="136"/>
        <v>30</v>
      </c>
      <c r="P186" s="74">
        <f t="shared" si="137"/>
        <v>48.6</v>
      </c>
      <c r="Q186" s="58">
        <f t="shared" si="138"/>
        <v>48.6</v>
      </c>
      <c r="R186" s="106"/>
      <c r="S186" s="106"/>
      <c r="T186" s="106"/>
      <c r="U186" s="106"/>
      <c r="V186" s="106"/>
      <c r="W186" s="106"/>
      <c r="X186" s="106"/>
      <c r="Y186" s="106"/>
      <c r="Z186" s="106"/>
      <c r="AA186" s="106"/>
      <c r="AB186" s="106"/>
      <c r="AC186" s="106"/>
      <c r="AD186" s="106"/>
      <c r="AE186" s="106"/>
      <c r="AF186" s="106"/>
      <c r="AG186" s="106"/>
      <c r="AH186" s="106"/>
      <c r="AI186" s="106"/>
      <c r="AJ186" s="106"/>
    </row>
    <row r="187" spans="1:36" s="99" customFormat="1">
      <c r="A187" s="77">
        <f>IF(F187&lt;&gt;"",1+MAX($A$2:A186),"")</f>
        <v>156</v>
      </c>
      <c r="B187" s="56"/>
      <c r="C187" s="107"/>
      <c r="D187" s="57" t="s">
        <v>197</v>
      </c>
      <c r="E187" s="81">
        <v>2</v>
      </c>
      <c r="F187" s="108">
        <v>0</v>
      </c>
      <c r="G187" s="109">
        <f t="shared" si="132"/>
        <v>2</v>
      </c>
      <c r="H187" s="79" t="s">
        <v>43</v>
      </c>
      <c r="I187" s="71">
        <v>0.42</v>
      </c>
      <c r="J187" s="72">
        <f t="shared" si="133"/>
        <v>0.84</v>
      </c>
      <c r="K187" s="73">
        <f>'LABOR SHEET'!C$3</f>
        <v>46.5</v>
      </c>
      <c r="L187" s="74">
        <f t="shared" si="134"/>
        <v>19.529999999999998</v>
      </c>
      <c r="M187" s="74">
        <f t="shared" si="135"/>
        <v>39.059999999999995</v>
      </c>
      <c r="N187" s="74">
        <v>40</v>
      </c>
      <c r="O187" s="74">
        <f t="shared" si="136"/>
        <v>80</v>
      </c>
      <c r="P187" s="74">
        <f t="shared" si="137"/>
        <v>59.53</v>
      </c>
      <c r="Q187" s="58">
        <f t="shared" si="138"/>
        <v>119.06</v>
      </c>
      <c r="R187" s="106"/>
      <c r="S187" s="106"/>
      <c r="T187" s="106"/>
      <c r="U187" s="106"/>
      <c r="V187" s="106"/>
      <c r="W187" s="106"/>
      <c r="X187" s="106"/>
      <c r="Y187" s="106"/>
      <c r="Z187" s="106"/>
      <c r="AA187" s="106"/>
      <c r="AB187" s="106"/>
      <c r="AC187" s="106"/>
      <c r="AD187" s="106"/>
      <c r="AE187" s="106"/>
      <c r="AF187" s="106"/>
      <c r="AG187" s="106"/>
      <c r="AH187" s="106"/>
      <c r="AI187" s="106"/>
      <c r="AJ187" s="106"/>
    </row>
    <row r="188" spans="1:36" s="99" customFormat="1">
      <c r="A188" s="65">
        <f>IF(F188&lt;&gt;"",1+MAX($A$2:A187),"")</f>
        <v>157</v>
      </c>
      <c r="B188" s="56"/>
      <c r="C188" s="107"/>
      <c r="D188" s="57" t="s">
        <v>198</v>
      </c>
      <c r="E188" s="81">
        <v>2</v>
      </c>
      <c r="F188" s="108">
        <v>0</v>
      </c>
      <c r="G188" s="109">
        <f t="shared" si="132"/>
        <v>2</v>
      </c>
      <c r="H188" s="79" t="s">
        <v>43</v>
      </c>
      <c r="I188" s="71">
        <v>0.44</v>
      </c>
      <c r="J188" s="72">
        <f t="shared" si="133"/>
        <v>0.88</v>
      </c>
      <c r="K188" s="73">
        <f>'LABOR SHEET'!C$3</f>
        <v>46.5</v>
      </c>
      <c r="L188" s="74">
        <f t="shared" si="134"/>
        <v>20.46</v>
      </c>
      <c r="M188" s="74">
        <f t="shared" si="135"/>
        <v>40.92</v>
      </c>
      <c r="N188" s="74">
        <v>40</v>
      </c>
      <c r="O188" s="74">
        <f t="shared" si="136"/>
        <v>80</v>
      </c>
      <c r="P188" s="74">
        <f t="shared" si="137"/>
        <v>60.46</v>
      </c>
      <c r="Q188" s="58">
        <f t="shared" si="138"/>
        <v>120.92</v>
      </c>
      <c r="R188" s="106"/>
      <c r="S188" s="106"/>
      <c r="T188" s="106"/>
      <c r="U188" s="106"/>
      <c r="V188" s="106"/>
      <c r="W188" s="106"/>
      <c r="X188" s="106"/>
      <c r="Y188" s="106"/>
      <c r="Z188" s="106"/>
      <c r="AA188" s="106"/>
      <c r="AB188" s="106"/>
      <c r="AC188" s="106"/>
      <c r="AD188" s="106"/>
      <c r="AE188" s="106"/>
      <c r="AF188" s="106"/>
      <c r="AG188" s="106"/>
      <c r="AH188" s="106"/>
      <c r="AI188" s="106"/>
      <c r="AJ188" s="106"/>
    </row>
    <row r="189" spans="1:36" s="99" customFormat="1">
      <c r="A189" s="77">
        <f>IF(F189&lt;&gt;"",1+MAX($A$2:A188),"")</f>
        <v>158</v>
      </c>
      <c r="B189" s="56"/>
      <c r="C189" s="107"/>
      <c r="D189" s="57" t="s">
        <v>199</v>
      </c>
      <c r="E189" s="81">
        <v>1</v>
      </c>
      <c r="F189" s="108">
        <v>0</v>
      </c>
      <c r="G189" s="109">
        <f t="shared" si="132"/>
        <v>1</v>
      </c>
      <c r="H189" s="79" t="s">
        <v>43</v>
      </c>
      <c r="I189" s="71">
        <v>0.46</v>
      </c>
      <c r="J189" s="72">
        <f t="shared" si="133"/>
        <v>0.46</v>
      </c>
      <c r="K189" s="73">
        <f>'LABOR SHEET'!C$3</f>
        <v>46.5</v>
      </c>
      <c r="L189" s="74">
        <f t="shared" si="134"/>
        <v>21.39</v>
      </c>
      <c r="M189" s="74">
        <f t="shared" si="135"/>
        <v>21.39</v>
      </c>
      <c r="N189" s="74">
        <v>50</v>
      </c>
      <c r="O189" s="74">
        <f t="shared" si="136"/>
        <v>50</v>
      </c>
      <c r="P189" s="74">
        <f t="shared" si="137"/>
        <v>71.39</v>
      </c>
      <c r="Q189" s="58">
        <f t="shared" si="138"/>
        <v>71.39</v>
      </c>
      <c r="R189" s="106"/>
      <c r="S189" s="106"/>
      <c r="T189" s="106"/>
      <c r="U189" s="106"/>
      <c r="V189" s="106"/>
      <c r="W189" s="106"/>
      <c r="X189" s="106"/>
      <c r="Y189" s="106"/>
      <c r="Z189" s="106"/>
      <c r="AA189" s="106"/>
      <c r="AB189" s="106"/>
      <c r="AC189" s="106"/>
      <c r="AD189" s="106"/>
      <c r="AE189" s="106"/>
      <c r="AF189" s="106"/>
      <c r="AG189" s="106"/>
      <c r="AH189" s="106"/>
      <c r="AI189" s="106"/>
      <c r="AJ189" s="106"/>
    </row>
    <row r="190" spans="1:36" s="99" customFormat="1">
      <c r="A190" s="65">
        <f>IF(F190&lt;&gt;"",1+MAX($A$2:A189),"")</f>
        <v>159</v>
      </c>
      <c r="B190" s="56"/>
      <c r="C190" s="107"/>
      <c r="D190" s="57" t="s">
        <v>200</v>
      </c>
      <c r="E190" s="81">
        <v>1</v>
      </c>
      <c r="F190" s="108">
        <v>0</v>
      </c>
      <c r="G190" s="109">
        <f t="shared" si="132"/>
        <v>1</v>
      </c>
      <c r="H190" s="79" t="s">
        <v>43</v>
      </c>
      <c r="I190" s="71">
        <v>0.48</v>
      </c>
      <c r="J190" s="72">
        <f t="shared" si="133"/>
        <v>0.48</v>
      </c>
      <c r="K190" s="73">
        <f>'LABOR SHEET'!C$3</f>
        <v>46.5</v>
      </c>
      <c r="L190" s="74">
        <f t="shared" si="134"/>
        <v>22.32</v>
      </c>
      <c r="M190" s="74">
        <f t="shared" si="135"/>
        <v>22.32</v>
      </c>
      <c r="N190" s="74">
        <v>50</v>
      </c>
      <c r="O190" s="74">
        <f t="shared" si="136"/>
        <v>50</v>
      </c>
      <c r="P190" s="74">
        <f t="shared" si="137"/>
        <v>72.319999999999993</v>
      </c>
      <c r="Q190" s="58">
        <f t="shared" si="138"/>
        <v>72.319999999999993</v>
      </c>
      <c r="R190" s="106"/>
      <c r="S190" s="106"/>
      <c r="T190" s="106"/>
      <c r="U190" s="106"/>
      <c r="V190" s="106"/>
      <c r="W190" s="106"/>
      <c r="X190" s="106"/>
      <c r="Y190" s="106"/>
      <c r="Z190" s="106"/>
      <c r="AA190" s="106"/>
      <c r="AB190" s="106"/>
      <c r="AC190" s="106"/>
      <c r="AD190" s="106"/>
      <c r="AE190" s="106"/>
      <c r="AF190" s="106"/>
      <c r="AG190" s="106"/>
      <c r="AH190" s="106"/>
      <c r="AI190" s="106"/>
      <c r="AJ190" s="106"/>
    </row>
    <row r="191" spans="1:36" s="99" customFormat="1">
      <c r="A191" s="77">
        <f>IF(F191&lt;&gt;"",1+MAX($A$2:A190),"")</f>
        <v>160</v>
      </c>
      <c r="B191" s="56"/>
      <c r="C191" s="107"/>
      <c r="D191" s="57" t="s">
        <v>201</v>
      </c>
      <c r="E191" s="81">
        <v>2</v>
      </c>
      <c r="F191" s="108">
        <v>0</v>
      </c>
      <c r="G191" s="109">
        <f t="shared" si="132"/>
        <v>2</v>
      </c>
      <c r="H191" s="79" t="s">
        <v>43</v>
      </c>
      <c r="I191" s="71">
        <v>0.49</v>
      </c>
      <c r="J191" s="72">
        <f t="shared" si="133"/>
        <v>0.98</v>
      </c>
      <c r="K191" s="73">
        <f>'LABOR SHEET'!C$3</f>
        <v>46.5</v>
      </c>
      <c r="L191" s="74">
        <f t="shared" si="134"/>
        <v>22.785</v>
      </c>
      <c r="M191" s="74">
        <f t="shared" si="135"/>
        <v>45.57</v>
      </c>
      <c r="N191" s="74">
        <v>60</v>
      </c>
      <c r="O191" s="74">
        <f t="shared" si="136"/>
        <v>120</v>
      </c>
      <c r="P191" s="74">
        <f t="shared" si="137"/>
        <v>82.784999999999997</v>
      </c>
      <c r="Q191" s="58">
        <f t="shared" si="138"/>
        <v>165.57</v>
      </c>
      <c r="R191" s="106"/>
      <c r="S191" s="106"/>
      <c r="T191" s="106"/>
      <c r="U191" s="106"/>
      <c r="V191" s="106"/>
      <c r="W191" s="106"/>
      <c r="X191" s="106"/>
      <c r="Y191" s="106"/>
      <c r="Z191" s="106"/>
      <c r="AA191" s="106"/>
      <c r="AB191" s="106"/>
      <c r="AC191" s="106"/>
      <c r="AD191" s="106"/>
      <c r="AE191" s="106"/>
      <c r="AF191" s="106"/>
      <c r="AG191" s="106"/>
      <c r="AH191" s="106"/>
      <c r="AI191" s="106"/>
      <c r="AJ191" s="106"/>
    </row>
    <row r="192" spans="1:36" s="99" customFormat="1">
      <c r="A192" s="65">
        <f>IF(F192&lt;&gt;"",1+MAX($A$2:A191),"")</f>
        <v>161</v>
      </c>
      <c r="B192" s="56"/>
      <c r="C192" s="107"/>
      <c r="D192" s="57" t="s">
        <v>202</v>
      </c>
      <c r="E192" s="81">
        <v>2</v>
      </c>
      <c r="F192" s="108">
        <v>0</v>
      </c>
      <c r="G192" s="109">
        <f t="shared" si="132"/>
        <v>2</v>
      </c>
      <c r="H192" s="79" t="s">
        <v>43</v>
      </c>
      <c r="I192" s="71">
        <v>0.5</v>
      </c>
      <c r="J192" s="72">
        <f t="shared" si="133"/>
        <v>1</v>
      </c>
      <c r="K192" s="73">
        <f>'LABOR SHEET'!C$3</f>
        <v>46.5</v>
      </c>
      <c r="L192" s="74">
        <f t="shared" si="134"/>
        <v>23.25</v>
      </c>
      <c r="M192" s="74">
        <f t="shared" si="135"/>
        <v>46.5</v>
      </c>
      <c r="N192" s="74">
        <v>70</v>
      </c>
      <c r="O192" s="74">
        <f t="shared" si="136"/>
        <v>140</v>
      </c>
      <c r="P192" s="74">
        <f t="shared" si="137"/>
        <v>93.25</v>
      </c>
      <c r="Q192" s="58">
        <f t="shared" si="138"/>
        <v>186.5</v>
      </c>
      <c r="R192" s="106"/>
      <c r="S192" s="106"/>
      <c r="T192" s="106"/>
      <c r="U192" s="106"/>
      <c r="V192" s="106"/>
      <c r="W192" s="106"/>
      <c r="X192" s="106"/>
      <c r="Y192" s="106"/>
      <c r="Z192" s="106"/>
      <c r="AA192" s="106"/>
      <c r="AB192" s="106"/>
      <c r="AC192" s="106"/>
      <c r="AD192" s="106"/>
      <c r="AE192" s="106"/>
      <c r="AF192" s="106"/>
      <c r="AG192" s="106"/>
      <c r="AH192" s="106"/>
      <c r="AI192" s="106"/>
      <c r="AJ192" s="106"/>
    </row>
    <row r="193" spans="1:36" s="99" customFormat="1">
      <c r="A193" s="77">
        <f>IF(F193&lt;&gt;"",1+MAX($A$2:A192),"")</f>
        <v>162</v>
      </c>
      <c r="B193" s="56"/>
      <c r="C193" s="107"/>
      <c r="D193" s="57" t="s">
        <v>203</v>
      </c>
      <c r="E193" s="81">
        <v>1</v>
      </c>
      <c r="F193" s="108">
        <v>0</v>
      </c>
      <c r="G193" s="109">
        <f t="shared" si="132"/>
        <v>1</v>
      </c>
      <c r="H193" s="79" t="s">
        <v>43</v>
      </c>
      <c r="I193" s="71">
        <v>0.52</v>
      </c>
      <c r="J193" s="72">
        <f t="shared" si="133"/>
        <v>0.52</v>
      </c>
      <c r="K193" s="73">
        <f>'LABOR SHEET'!C$3</f>
        <v>46.5</v>
      </c>
      <c r="L193" s="74">
        <f t="shared" si="134"/>
        <v>24.18</v>
      </c>
      <c r="M193" s="74">
        <f t="shared" si="135"/>
        <v>24.18</v>
      </c>
      <c r="N193" s="74">
        <v>100</v>
      </c>
      <c r="O193" s="74">
        <f t="shared" si="136"/>
        <v>100</v>
      </c>
      <c r="P193" s="74">
        <f t="shared" si="137"/>
        <v>124.18</v>
      </c>
      <c r="Q193" s="58">
        <f t="shared" si="138"/>
        <v>124.18</v>
      </c>
      <c r="R193" s="106"/>
      <c r="S193" s="106"/>
      <c r="T193" s="106"/>
      <c r="U193" s="106"/>
      <c r="V193" s="106"/>
      <c r="W193" s="106"/>
      <c r="X193" s="106"/>
      <c r="Y193" s="106"/>
      <c r="Z193" s="106"/>
      <c r="AA193" s="106"/>
      <c r="AB193" s="106"/>
      <c r="AC193" s="106"/>
      <c r="AD193" s="106"/>
      <c r="AE193" s="106"/>
      <c r="AF193" s="106"/>
      <c r="AG193" s="106"/>
      <c r="AH193" s="106"/>
      <c r="AI193" s="106"/>
      <c r="AJ193" s="106"/>
    </row>
    <row r="194" spans="1:36" s="99" customFormat="1">
      <c r="A194" s="65">
        <f>IF(F194&lt;&gt;"",1+MAX($A$2:A193),"")</f>
        <v>163</v>
      </c>
      <c r="B194" s="56"/>
      <c r="C194" s="107"/>
      <c r="D194" s="57" t="s">
        <v>204</v>
      </c>
      <c r="E194" s="81">
        <v>1</v>
      </c>
      <c r="F194" s="108">
        <v>0</v>
      </c>
      <c r="G194" s="109">
        <f t="shared" si="132"/>
        <v>1</v>
      </c>
      <c r="H194" s="79" t="s">
        <v>43</v>
      </c>
      <c r="I194" s="71">
        <v>0.55000000000000004</v>
      </c>
      <c r="J194" s="72">
        <f t="shared" si="133"/>
        <v>0.55000000000000004</v>
      </c>
      <c r="K194" s="73">
        <f>'LABOR SHEET'!C$3</f>
        <v>46.5</v>
      </c>
      <c r="L194" s="74">
        <f t="shared" si="134"/>
        <v>25.575000000000003</v>
      </c>
      <c r="M194" s="74">
        <f t="shared" si="135"/>
        <v>25.575000000000003</v>
      </c>
      <c r="N194" s="74">
        <v>100</v>
      </c>
      <c r="O194" s="74">
        <f t="shared" si="136"/>
        <v>100</v>
      </c>
      <c r="P194" s="74">
        <f t="shared" si="137"/>
        <v>125.575</v>
      </c>
      <c r="Q194" s="58">
        <f t="shared" si="138"/>
        <v>125.575</v>
      </c>
      <c r="R194" s="106"/>
      <c r="S194" s="106"/>
      <c r="T194" s="106"/>
      <c r="U194" s="106"/>
      <c r="V194" s="106"/>
      <c r="W194" s="106"/>
      <c r="X194" s="106"/>
      <c r="Y194" s="106"/>
      <c r="Z194" s="106"/>
      <c r="AA194" s="106"/>
      <c r="AB194" s="106"/>
      <c r="AC194" s="106"/>
      <c r="AD194" s="106"/>
      <c r="AE194" s="106"/>
      <c r="AF194" s="106"/>
      <c r="AG194" s="106"/>
      <c r="AH194" s="106"/>
      <c r="AI194" s="106"/>
      <c r="AJ194" s="106"/>
    </row>
    <row r="195" spans="1:36" s="99" customFormat="1">
      <c r="A195" s="77">
        <f>IF(F195&lt;&gt;"",1+MAX($A$2:A194),"")</f>
        <v>164</v>
      </c>
      <c r="B195" s="56"/>
      <c r="C195" s="107"/>
      <c r="D195" s="57" t="s">
        <v>205</v>
      </c>
      <c r="E195" s="81">
        <v>1</v>
      </c>
      <c r="F195" s="108">
        <v>0</v>
      </c>
      <c r="G195" s="109">
        <f t="shared" si="132"/>
        <v>1</v>
      </c>
      <c r="H195" s="79" t="s">
        <v>43</v>
      </c>
      <c r="I195" s="71">
        <v>0.56000000000000005</v>
      </c>
      <c r="J195" s="72">
        <f t="shared" si="133"/>
        <v>0.56000000000000005</v>
      </c>
      <c r="K195" s="73">
        <f>'LABOR SHEET'!C$3</f>
        <v>46.5</v>
      </c>
      <c r="L195" s="74">
        <f t="shared" si="134"/>
        <v>26.040000000000003</v>
      </c>
      <c r="M195" s="74">
        <f t="shared" si="135"/>
        <v>26.040000000000003</v>
      </c>
      <c r="N195" s="74">
        <v>120</v>
      </c>
      <c r="O195" s="74">
        <f t="shared" si="136"/>
        <v>120</v>
      </c>
      <c r="P195" s="74">
        <f t="shared" si="137"/>
        <v>146.04</v>
      </c>
      <c r="Q195" s="58">
        <f t="shared" si="138"/>
        <v>146.04</v>
      </c>
      <c r="R195" s="106"/>
      <c r="S195" s="106"/>
      <c r="T195" s="106"/>
      <c r="U195" s="106"/>
      <c r="V195" s="106"/>
      <c r="W195" s="106"/>
      <c r="X195" s="106"/>
      <c r="Y195" s="106"/>
      <c r="Z195" s="106"/>
      <c r="AA195" s="106"/>
      <c r="AB195" s="106"/>
      <c r="AC195" s="106"/>
      <c r="AD195" s="106"/>
      <c r="AE195" s="106"/>
      <c r="AF195" s="106"/>
      <c r="AG195" s="106"/>
      <c r="AH195" s="106"/>
      <c r="AI195" s="106"/>
      <c r="AJ195" s="106"/>
    </row>
    <row r="196" spans="1:36" s="99" customFormat="1">
      <c r="A196" s="65">
        <f>IF(F196&lt;&gt;"",1+MAX($A$2:A195),"")</f>
        <v>165</v>
      </c>
      <c r="B196" s="56"/>
      <c r="C196" s="107"/>
      <c r="D196" s="57" t="s">
        <v>206</v>
      </c>
      <c r="E196" s="81">
        <v>1</v>
      </c>
      <c r="F196" s="108">
        <v>0</v>
      </c>
      <c r="G196" s="109">
        <f t="shared" si="132"/>
        <v>1</v>
      </c>
      <c r="H196" s="79" t="s">
        <v>43</v>
      </c>
      <c r="I196" s="71">
        <v>0.55000000000000004</v>
      </c>
      <c r="J196" s="72">
        <f t="shared" si="133"/>
        <v>0.55000000000000004</v>
      </c>
      <c r="K196" s="73">
        <f>'LABOR SHEET'!C$3</f>
        <v>46.5</v>
      </c>
      <c r="L196" s="74">
        <f t="shared" si="134"/>
        <v>25.575000000000003</v>
      </c>
      <c r="M196" s="74">
        <f t="shared" si="135"/>
        <v>25.575000000000003</v>
      </c>
      <c r="N196" s="74">
        <v>130</v>
      </c>
      <c r="O196" s="74">
        <f t="shared" si="136"/>
        <v>130</v>
      </c>
      <c r="P196" s="74">
        <f t="shared" si="137"/>
        <v>155.57499999999999</v>
      </c>
      <c r="Q196" s="58">
        <f t="shared" si="138"/>
        <v>155.57499999999999</v>
      </c>
      <c r="R196" s="106"/>
      <c r="S196" s="106"/>
      <c r="T196" s="106"/>
      <c r="U196" s="106"/>
      <c r="V196" s="106"/>
      <c r="W196" s="106"/>
      <c r="X196" s="106"/>
      <c r="Y196" s="106"/>
      <c r="Z196" s="106"/>
      <c r="AA196" s="106"/>
      <c r="AB196" s="106"/>
      <c r="AC196" s="106"/>
      <c r="AD196" s="106"/>
      <c r="AE196" s="106"/>
      <c r="AF196" s="106"/>
      <c r="AG196" s="106"/>
      <c r="AH196" s="106"/>
      <c r="AI196" s="106"/>
      <c r="AJ196" s="106"/>
    </row>
    <row r="197" spans="1:36" s="99" customFormat="1">
      <c r="A197" s="77">
        <f>IF(F197&lt;&gt;"",1+MAX($A$2:A196),"")</f>
        <v>166</v>
      </c>
      <c r="B197" s="56"/>
      <c r="C197" s="107"/>
      <c r="D197" s="57" t="s">
        <v>207</v>
      </c>
      <c r="E197" s="81">
        <v>2</v>
      </c>
      <c r="F197" s="108">
        <v>0</v>
      </c>
      <c r="G197" s="109">
        <f t="shared" si="132"/>
        <v>2</v>
      </c>
      <c r="H197" s="79" t="s">
        <v>43</v>
      </c>
      <c r="I197" s="71">
        <v>0.57999999999999996</v>
      </c>
      <c r="J197" s="72">
        <f t="shared" si="133"/>
        <v>1.1599999999999999</v>
      </c>
      <c r="K197" s="73">
        <f>'LABOR SHEET'!C$3</f>
        <v>46.5</v>
      </c>
      <c r="L197" s="74">
        <f t="shared" si="134"/>
        <v>26.97</v>
      </c>
      <c r="M197" s="74">
        <f t="shared" si="135"/>
        <v>53.94</v>
      </c>
      <c r="N197" s="74">
        <v>150</v>
      </c>
      <c r="O197" s="74">
        <f t="shared" si="136"/>
        <v>300</v>
      </c>
      <c r="P197" s="74">
        <f t="shared" si="137"/>
        <v>176.97</v>
      </c>
      <c r="Q197" s="58">
        <f t="shared" si="138"/>
        <v>353.94</v>
      </c>
      <c r="R197" s="106"/>
      <c r="S197" s="106"/>
      <c r="T197" s="106"/>
      <c r="U197" s="106"/>
      <c r="V197" s="106"/>
      <c r="W197" s="106"/>
      <c r="X197" s="106"/>
      <c r="Y197" s="106"/>
      <c r="Z197" s="106"/>
      <c r="AA197" s="106"/>
      <c r="AB197" s="106"/>
      <c r="AC197" s="106"/>
      <c r="AD197" s="106"/>
      <c r="AE197" s="106"/>
      <c r="AF197" s="106"/>
      <c r="AG197" s="106"/>
      <c r="AH197" s="106"/>
      <c r="AI197" s="106"/>
      <c r="AJ197" s="106"/>
    </row>
    <row r="198" spans="1:36" s="99" customFormat="1">
      <c r="A198" s="65">
        <f>IF(F198&lt;&gt;"",1+MAX($A$2:A197),"")</f>
        <v>167</v>
      </c>
      <c r="B198" s="56"/>
      <c r="C198" s="107"/>
      <c r="D198" s="57" t="s">
        <v>208</v>
      </c>
      <c r="E198" s="81">
        <v>2</v>
      </c>
      <c r="F198" s="108">
        <v>0</v>
      </c>
      <c r="G198" s="109">
        <f t="shared" si="132"/>
        <v>2</v>
      </c>
      <c r="H198" s="79" t="s">
        <v>43</v>
      </c>
      <c r="I198" s="71">
        <v>0.6</v>
      </c>
      <c r="J198" s="72">
        <f t="shared" si="133"/>
        <v>1.2</v>
      </c>
      <c r="K198" s="73">
        <f>'LABOR SHEET'!C$3</f>
        <v>46.5</v>
      </c>
      <c r="L198" s="74">
        <f t="shared" si="134"/>
        <v>27.9</v>
      </c>
      <c r="M198" s="74">
        <f t="shared" si="135"/>
        <v>55.8</v>
      </c>
      <c r="N198" s="74">
        <v>30</v>
      </c>
      <c r="O198" s="74">
        <f t="shared" si="136"/>
        <v>60</v>
      </c>
      <c r="P198" s="74">
        <f t="shared" si="137"/>
        <v>57.9</v>
      </c>
      <c r="Q198" s="58">
        <f t="shared" si="138"/>
        <v>115.8</v>
      </c>
      <c r="R198" s="106"/>
      <c r="S198" s="106"/>
      <c r="T198" s="106"/>
      <c r="U198" s="106"/>
      <c r="V198" s="106"/>
      <c r="W198" s="106"/>
      <c r="X198" s="106"/>
      <c r="Y198" s="106"/>
      <c r="Z198" s="106"/>
      <c r="AA198" s="106"/>
      <c r="AB198" s="106"/>
      <c r="AC198" s="106"/>
      <c r="AD198" s="106"/>
      <c r="AE198" s="106"/>
      <c r="AF198" s="106"/>
      <c r="AG198" s="106"/>
      <c r="AH198" s="106"/>
      <c r="AI198" s="106"/>
      <c r="AJ198" s="106"/>
    </row>
    <row r="199" spans="1:36" s="99" customFormat="1">
      <c r="A199" s="77">
        <f>IF(F199&lt;&gt;"",1+MAX($A$2:A198),"")</f>
        <v>168</v>
      </c>
      <c r="B199" s="56"/>
      <c r="C199" s="107"/>
      <c r="D199" s="57" t="s">
        <v>209</v>
      </c>
      <c r="E199" s="81">
        <v>1</v>
      </c>
      <c r="F199" s="108">
        <v>0</v>
      </c>
      <c r="G199" s="109">
        <f t="shared" si="132"/>
        <v>1</v>
      </c>
      <c r="H199" s="79" t="s">
        <v>43</v>
      </c>
      <c r="I199" s="71">
        <v>0.5</v>
      </c>
      <c r="J199" s="72">
        <f t="shared" si="133"/>
        <v>0.5</v>
      </c>
      <c r="K199" s="73">
        <f>'LABOR SHEET'!C$3</f>
        <v>46.5</v>
      </c>
      <c r="L199" s="74">
        <f t="shared" si="134"/>
        <v>23.25</v>
      </c>
      <c r="M199" s="74">
        <f t="shared" si="135"/>
        <v>23.25</v>
      </c>
      <c r="N199" s="74">
        <v>40</v>
      </c>
      <c r="O199" s="74">
        <f t="shared" si="136"/>
        <v>40</v>
      </c>
      <c r="P199" s="74">
        <f t="shared" si="137"/>
        <v>63.25</v>
      </c>
      <c r="Q199" s="58">
        <f t="shared" si="138"/>
        <v>63.25</v>
      </c>
      <c r="R199" s="106"/>
      <c r="S199" s="106"/>
      <c r="T199" s="106"/>
      <c r="U199" s="106"/>
      <c r="V199" s="106"/>
      <c r="W199" s="106"/>
      <c r="X199" s="106"/>
      <c r="Y199" s="106"/>
      <c r="Z199" s="106"/>
      <c r="AA199" s="106"/>
      <c r="AB199" s="106"/>
      <c r="AC199" s="106"/>
      <c r="AD199" s="106"/>
      <c r="AE199" s="106"/>
      <c r="AF199" s="106"/>
      <c r="AG199" s="106"/>
      <c r="AH199" s="106"/>
      <c r="AI199" s="106"/>
      <c r="AJ199" s="106"/>
    </row>
    <row r="200" spans="1:36" s="99" customFormat="1">
      <c r="A200" s="65">
        <f>IF(F200&lt;&gt;"",1+MAX($A$2:A199),"")</f>
        <v>169</v>
      </c>
      <c r="B200" s="56"/>
      <c r="C200" s="107"/>
      <c r="D200" s="57" t="s">
        <v>210</v>
      </c>
      <c r="E200" s="81">
        <v>1</v>
      </c>
      <c r="F200" s="108">
        <v>0</v>
      </c>
      <c r="G200" s="109">
        <f t="shared" si="132"/>
        <v>1</v>
      </c>
      <c r="H200" s="79" t="s">
        <v>43</v>
      </c>
      <c r="I200" s="71">
        <v>0.52</v>
      </c>
      <c r="J200" s="72">
        <f t="shared" si="133"/>
        <v>0.52</v>
      </c>
      <c r="K200" s="73">
        <f>'LABOR SHEET'!C$3</f>
        <v>46.5</v>
      </c>
      <c r="L200" s="74">
        <f t="shared" si="134"/>
        <v>24.18</v>
      </c>
      <c r="M200" s="74">
        <f t="shared" si="135"/>
        <v>24.18</v>
      </c>
      <c r="N200" s="74">
        <v>40</v>
      </c>
      <c r="O200" s="74">
        <f t="shared" si="136"/>
        <v>40</v>
      </c>
      <c r="P200" s="74">
        <f t="shared" si="137"/>
        <v>64.180000000000007</v>
      </c>
      <c r="Q200" s="58">
        <f t="shared" si="138"/>
        <v>64.180000000000007</v>
      </c>
      <c r="R200" s="106"/>
      <c r="S200" s="106"/>
      <c r="T200" s="106"/>
      <c r="U200" s="106"/>
      <c r="V200" s="106"/>
      <c r="W200" s="106"/>
      <c r="X200" s="106"/>
      <c r="Y200" s="106"/>
      <c r="Z200" s="106"/>
      <c r="AA200" s="106"/>
      <c r="AB200" s="106"/>
      <c r="AC200" s="106"/>
      <c r="AD200" s="106"/>
      <c r="AE200" s="106"/>
      <c r="AF200" s="106"/>
      <c r="AG200" s="106"/>
      <c r="AH200" s="106"/>
      <c r="AI200" s="106"/>
      <c r="AJ200" s="106"/>
    </row>
    <row r="201" spans="1:36" s="99" customFormat="1">
      <c r="A201" s="77">
        <f>IF(F201&lt;&gt;"",1+MAX($A$2:A200),"")</f>
        <v>170</v>
      </c>
      <c r="B201" s="56"/>
      <c r="C201" s="107"/>
      <c r="D201" s="57" t="s">
        <v>211</v>
      </c>
      <c r="E201" s="81">
        <v>1</v>
      </c>
      <c r="F201" s="108">
        <v>0</v>
      </c>
      <c r="G201" s="109">
        <f t="shared" si="132"/>
        <v>1</v>
      </c>
      <c r="H201" s="79" t="s">
        <v>43</v>
      </c>
      <c r="I201" s="71">
        <v>0.55000000000000004</v>
      </c>
      <c r="J201" s="72">
        <f t="shared" si="133"/>
        <v>0.55000000000000004</v>
      </c>
      <c r="K201" s="73">
        <f>'LABOR SHEET'!C$3</f>
        <v>46.5</v>
      </c>
      <c r="L201" s="74">
        <f t="shared" si="134"/>
        <v>25.575000000000003</v>
      </c>
      <c r="M201" s="74">
        <f t="shared" si="135"/>
        <v>25.575000000000003</v>
      </c>
      <c r="N201" s="74">
        <v>50</v>
      </c>
      <c r="O201" s="74">
        <f t="shared" si="136"/>
        <v>50</v>
      </c>
      <c r="P201" s="74">
        <f t="shared" si="137"/>
        <v>75.575000000000003</v>
      </c>
      <c r="Q201" s="58">
        <f t="shared" si="138"/>
        <v>75.575000000000003</v>
      </c>
      <c r="R201" s="106"/>
      <c r="S201" s="106"/>
      <c r="T201" s="106"/>
      <c r="U201" s="106"/>
      <c r="V201" s="106"/>
      <c r="W201" s="106"/>
      <c r="X201" s="106"/>
      <c r="Y201" s="106"/>
      <c r="Z201" s="106"/>
      <c r="AA201" s="106"/>
      <c r="AB201" s="106"/>
      <c r="AC201" s="106"/>
      <c r="AD201" s="106"/>
      <c r="AE201" s="106"/>
      <c r="AF201" s="106"/>
      <c r="AG201" s="106"/>
      <c r="AH201" s="106"/>
      <c r="AI201" s="106"/>
      <c r="AJ201" s="106"/>
    </row>
    <row r="202" spans="1:36" s="99" customFormat="1">
      <c r="A202" s="65">
        <f>IF(F202&lt;&gt;"",1+MAX($A$2:A201),"")</f>
        <v>171</v>
      </c>
      <c r="B202" s="56"/>
      <c r="C202" s="107"/>
      <c r="D202" s="57" t="s">
        <v>212</v>
      </c>
      <c r="E202" s="81">
        <v>3</v>
      </c>
      <c r="F202" s="108">
        <v>0</v>
      </c>
      <c r="G202" s="109">
        <f t="shared" si="132"/>
        <v>3</v>
      </c>
      <c r="H202" s="79" t="s">
        <v>43</v>
      </c>
      <c r="I202" s="71">
        <v>0.57999999999999996</v>
      </c>
      <c r="J202" s="72">
        <f t="shared" si="133"/>
        <v>1.7399999999999998</v>
      </c>
      <c r="K202" s="73">
        <f>'LABOR SHEET'!C$3</f>
        <v>46.5</v>
      </c>
      <c r="L202" s="74">
        <f t="shared" si="134"/>
        <v>26.97</v>
      </c>
      <c r="M202" s="74">
        <f t="shared" si="135"/>
        <v>80.909999999999982</v>
      </c>
      <c r="N202" s="74">
        <v>30</v>
      </c>
      <c r="O202" s="74">
        <f t="shared" si="136"/>
        <v>90</v>
      </c>
      <c r="P202" s="74">
        <f t="shared" si="137"/>
        <v>56.97</v>
      </c>
      <c r="Q202" s="58">
        <f t="shared" si="138"/>
        <v>170.91</v>
      </c>
      <c r="R202" s="106"/>
      <c r="S202" s="106"/>
      <c r="T202" s="106"/>
      <c r="U202" s="106"/>
      <c r="V202" s="106"/>
      <c r="W202" s="106"/>
      <c r="X202" s="106"/>
      <c r="Y202" s="106"/>
      <c r="Z202" s="106"/>
      <c r="AA202" s="106"/>
      <c r="AB202" s="106"/>
      <c r="AC202" s="106"/>
      <c r="AD202" s="106"/>
      <c r="AE202" s="106"/>
      <c r="AF202" s="106"/>
      <c r="AG202" s="106"/>
      <c r="AH202" s="106"/>
      <c r="AI202" s="106"/>
      <c r="AJ202" s="106"/>
    </row>
    <row r="203" spans="1:36" s="99" customFormat="1">
      <c r="A203" s="77">
        <f>IF(F203&lt;&gt;"",1+MAX($A$2:A202),"")</f>
        <v>172</v>
      </c>
      <c r="B203" s="56"/>
      <c r="C203" s="107"/>
      <c r="D203" s="57" t="s">
        <v>213</v>
      </c>
      <c r="E203" s="81">
        <v>1</v>
      </c>
      <c r="F203" s="108">
        <v>0</v>
      </c>
      <c r="G203" s="109">
        <f t="shared" si="132"/>
        <v>1</v>
      </c>
      <c r="H203" s="79" t="s">
        <v>43</v>
      </c>
      <c r="I203" s="71">
        <v>0.6</v>
      </c>
      <c r="J203" s="72">
        <f t="shared" si="133"/>
        <v>0.6</v>
      </c>
      <c r="K203" s="73">
        <f>'LABOR SHEET'!C$3</f>
        <v>46.5</v>
      </c>
      <c r="L203" s="74">
        <f t="shared" si="134"/>
        <v>27.9</v>
      </c>
      <c r="M203" s="74">
        <f t="shared" si="135"/>
        <v>27.9</v>
      </c>
      <c r="N203" s="74">
        <v>30</v>
      </c>
      <c r="O203" s="74">
        <f t="shared" si="136"/>
        <v>30</v>
      </c>
      <c r="P203" s="74">
        <f t="shared" si="137"/>
        <v>57.9</v>
      </c>
      <c r="Q203" s="58">
        <f t="shared" si="138"/>
        <v>57.9</v>
      </c>
      <c r="R203" s="106"/>
      <c r="S203" s="106"/>
      <c r="T203" s="106"/>
      <c r="U203" s="106"/>
      <c r="V203" s="106"/>
      <c r="W203" s="106"/>
      <c r="X203" s="106"/>
      <c r="Y203" s="106"/>
      <c r="Z203" s="106"/>
      <c r="AA203" s="106"/>
      <c r="AB203" s="106"/>
      <c r="AC203" s="106"/>
      <c r="AD203" s="106"/>
      <c r="AE203" s="106"/>
      <c r="AF203" s="106"/>
      <c r="AG203" s="106"/>
      <c r="AH203" s="106"/>
      <c r="AI203" s="106"/>
      <c r="AJ203" s="106"/>
    </row>
    <row r="204" spans="1:36" s="99" customFormat="1">
      <c r="A204" s="65">
        <f>IF(F204&lt;&gt;"",1+MAX($A$2:A203),"")</f>
        <v>173</v>
      </c>
      <c r="B204" s="56"/>
      <c r="C204" s="107"/>
      <c r="D204" s="57" t="s">
        <v>214</v>
      </c>
      <c r="E204" s="81">
        <v>1</v>
      </c>
      <c r="F204" s="108">
        <v>0</v>
      </c>
      <c r="G204" s="109">
        <f t="shared" si="132"/>
        <v>1</v>
      </c>
      <c r="H204" s="79" t="s">
        <v>43</v>
      </c>
      <c r="I204" s="71">
        <v>0.62</v>
      </c>
      <c r="J204" s="72">
        <f t="shared" si="133"/>
        <v>0.62</v>
      </c>
      <c r="K204" s="73">
        <f>'LABOR SHEET'!C$3</f>
        <v>46.5</v>
      </c>
      <c r="L204" s="74">
        <f t="shared" si="134"/>
        <v>28.83</v>
      </c>
      <c r="M204" s="74">
        <f t="shared" si="135"/>
        <v>28.83</v>
      </c>
      <c r="N204" s="74">
        <v>40</v>
      </c>
      <c r="O204" s="74">
        <f t="shared" si="136"/>
        <v>40</v>
      </c>
      <c r="P204" s="74">
        <f t="shared" si="137"/>
        <v>68.83</v>
      </c>
      <c r="Q204" s="58">
        <f t="shared" si="138"/>
        <v>68.83</v>
      </c>
      <c r="R204" s="106"/>
      <c r="S204" s="106"/>
      <c r="T204" s="106"/>
      <c r="U204" s="106"/>
      <c r="V204" s="106"/>
      <c r="W204" s="106"/>
      <c r="X204" s="106"/>
      <c r="Y204" s="106"/>
      <c r="Z204" s="106"/>
      <c r="AA204" s="106"/>
      <c r="AB204" s="106"/>
      <c r="AC204" s="106"/>
      <c r="AD204" s="106"/>
      <c r="AE204" s="106"/>
      <c r="AF204" s="106"/>
      <c r="AG204" s="106"/>
      <c r="AH204" s="106"/>
      <c r="AI204" s="106"/>
      <c r="AJ204" s="106"/>
    </row>
    <row r="205" spans="1:36" s="99" customFormat="1">
      <c r="A205" s="77">
        <f>IF(F205&lt;&gt;"",1+MAX($A$2:A204),"")</f>
        <v>174</v>
      </c>
      <c r="B205" s="56"/>
      <c r="C205" s="107"/>
      <c r="D205" s="57" t="s">
        <v>215</v>
      </c>
      <c r="E205" s="81">
        <v>2</v>
      </c>
      <c r="F205" s="108">
        <v>0</v>
      </c>
      <c r="G205" s="109">
        <f t="shared" si="132"/>
        <v>2</v>
      </c>
      <c r="H205" s="79" t="s">
        <v>43</v>
      </c>
      <c r="I205" s="71">
        <v>0.65</v>
      </c>
      <c r="J205" s="72">
        <f t="shared" si="133"/>
        <v>1.3</v>
      </c>
      <c r="K205" s="73">
        <f>'LABOR SHEET'!C$3</f>
        <v>46.5</v>
      </c>
      <c r="L205" s="74">
        <f t="shared" si="134"/>
        <v>30.225000000000001</v>
      </c>
      <c r="M205" s="74">
        <f t="shared" si="135"/>
        <v>60.45</v>
      </c>
      <c r="N205" s="74">
        <v>50</v>
      </c>
      <c r="O205" s="74">
        <f t="shared" si="136"/>
        <v>100</v>
      </c>
      <c r="P205" s="74">
        <f t="shared" si="137"/>
        <v>80.224999999999994</v>
      </c>
      <c r="Q205" s="58">
        <f t="shared" si="138"/>
        <v>160.44999999999999</v>
      </c>
      <c r="R205" s="106"/>
      <c r="S205" s="106"/>
      <c r="T205" s="106"/>
      <c r="U205" s="106"/>
      <c r="V205" s="106"/>
      <c r="W205" s="106"/>
      <c r="X205" s="106"/>
      <c r="Y205" s="106"/>
      <c r="Z205" s="106"/>
      <c r="AA205" s="106"/>
      <c r="AB205" s="106"/>
      <c r="AC205" s="106"/>
      <c r="AD205" s="106"/>
      <c r="AE205" s="106"/>
      <c r="AF205" s="106"/>
      <c r="AG205" s="106"/>
      <c r="AH205" s="106"/>
      <c r="AI205" s="106"/>
      <c r="AJ205" s="106"/>
    </row>
    <row r="206" spans="1:36" s="99" customFormat="1">
      <c r="A206" s="65">
        <f>IF(F206&lt;&gt;"",1+MAX($A$2:A205),"")</f>
        <v>175</v>
      </c>
      <c r="B206" s="56"/>
      <c r="C206" s="107"/>
      <c r="D206" s="57" t="s">
        <v>216</v>
      </c>
      <c r="E206" s="81">
        <v>1</v>
      </c>
      <c r="F206" s="108">
        <v>0</v>
      </c>
      <c r="G206" s="109">
        <f t="shared" si="132"/>
        <v>1</v>
      </c>
      <c r="H206" s="79" t="s">
        <v>43</v>
      </c>
      <c r="I206" s="71">
        <v>0.68</v>
      </c>
      <c r="J206" s="72">
        <f t="shared" si="133"/>
        <v>0.68</v>
      </c>
      <c r="K206" s="73">
        <f>'LABOR SHEET'!C$3</f>
        <v>46.5</v>
      </c>
      <c r="L206" s="74">
        <f t="shared" si="134"/>
        <v>31.62</v>
      </c>
      <c r="M206" s="74">
        <f t="shared" si="135"/>
        <v>31.62</v>
      </c>
      <c r="N206" s="74">
        <v>50</v>
      </c>
      <c r="O206" s="74">
        <f t="shared" si="136"/>
        <v>50</v>
      </c>
      <c r="P206" s="74">
        <f t="shared" si="137"/>
        <v>81.62</v>
      </c>
      <c r="Q206" s="58">
        <f t="shared" si="138"/>
        <v>81.62</v>
      </c>
      <c r="R206" s="106"/>
      <c r="S206" s="106"/>
      <c r="T206" s="106"/>
      <c r="U206" s="106"/>
      <c r="V206" s="106"/>
      <c r="W206" s="106"/>
      <c r="X206" s="106"/>
      <c r="Y206" s="106"/>
      <c r="Z206" s="106"/>
      <c r="AA206" s="106"/>
      <c r="AB206" s="106"/>
      <c r="AC206" s="106"/>
      <c r="AD206" s="106"/>
      <c r="AE206" s="106"/>
      <c r="AF206" s="106"/>
      <c r="AG206" s="106"/>
      <c r="AH206" s="106"/>
      <c r="AI206" s="106"/>
      <c r="AJ206" s="106"/>
    </row>
    <row r="207" spans="1:36" s="99" customFormat="1">
      <c r="A207" s="77">
        <f>IF(F207&lt;&gt;"",1+MAX($A$2:A206),"")</f>
        <v>176</v>
      </c>
      <c r="B207" s="56"/>
      <c r="C207" s="107"/>
      <c r="D207" s="57" t="s">
        <v>217</v>
      </c>
      <c r="E207" s="81">
        <v>2</v>
      </c>
      <c r="F207" s="108">
        <v>0</v>
      </c>
      <c r="G207" s="109">
        <f t="shared" si="132"/>
        <v>2</v>
      </c>
      <c r="H207" s="79" t="s">
        <v>43</v>
      </c>
      <c r="I207" s="71">
        <v>0.7</v>
      </c>
      <c r="J207" s="72">
        <f t="shared" si="133"/>
        <v>1.4</v>
      </c>
      <c r="K207" s="73">
        <f>'LABOR SHEET'!C$3</f>
        <v>46.5</v>
      </c>
      <c r="L207" s="74">
        <f t="shared" si="134"/>
        <v>32.549999999999997</v>
      </c>
      <c r="M207" s="74">
        <f t="shared" si="135"/>
        <v>65.099999999999994</v>
      </c>
      <c r="N207" s="74">
        <v>70</v>
      </c>
      <c r="O207" s="74">
        <f t="shared" si="136"/>
        <v>140</v>
      </c>
      <c r="P207" s="74">
        <f t="shared" si="137"/>
        <v>102.55</v>
      </c>
      <c r="Q207" s="58">
        <f t="shared" si="138"/>
        <v>205.1</v>
      </c>
      <c r="R207" s="106"/>
      <c r="S207" s="106"/>
      <c r="T207" s="106"/>
      <c r="U207" s="106"/>
      <c r="V207" s="106"/>
      <c r="W207" s="106"/>
      <c r="X207" s="106"/>
      <c r="Y207" s="106"/>
      <c r="Z207" s="106"/>
      <c r="AA207" s="106"/>
      <c r="AB207" s="106"/>
      <c r="AC207" s="106"/>
      <c r="AD207" s="106"/>
      <c r="AE207" s="106"/>
      <c r="AF207" s="106"/>
      <c r="AG207" s="106"/>
      <c r="AH207" s="106"/>
      <c r="AI207" s="106"/>
      <c r="AJ207" s="106"/>
    </row>
    <row r="208" spans="1:36" s="99" customFormat="1">
      <c r="A208" s="65">
        <f>IF(F208&lt;&gt;"",1+MAX($A$2:A207),"")</f>
        <v>177</v>
      </c>
      <c r="B208" s="56"/>
      <c r="C208" s="107"/>
      <c r="D208" s="57" t="s">
        <v>218</v>
      </c>
      <c r="E208" s="81">
        <v>1</v>
      </c>
      <c r="F208" s="108">
        <v>0</v>
      </c>
      <c r="G208" s="109">
        <f t="shared" si="132"/>
        <v>1</v>
      </c>
      <c r="H208" s="79" t="s">
        <v>43</v>
      </c>
      <c r="I208" s="71">
        <v>0.72</v>
      </c>
      <c r="J208" s="72">
        <f t="shared" si="133"/>
        <v>0.72</v>
      </c>
      <c r="K208" s="73">
        <f>'LABOR SHEET'!C$3</f>
        <v>46.5</v>
      </c>
      <c r="L208" s="74">
        <f t="shared" si="134"/>
        <v>33.479999999999997</v>
      </c>
      <c r="M208" s="74">
        <f t="shared" si="135"/>
        <v>33.479999999999997</v>
      </c>
      <c r="N208" s="74">
        <v>100</v>
      </c>
      <c r="O208" s="74">
        <f t="shared" si="136"/>
        <v>100</v>
      </c>
      <c r="P208" s="74">
        <f t="shared" si="137"/>
        <v>133.47999999999999</v>
      </c>
      <c r="Q208" s="58">
        <f t="shared" si="138"/>
        <v>133.47999999999999</v>
      </c>
      <c r="R208" s="106"/>
      <c r="S208" s="106"/>
      <c r="T208" s="106"/>
      <c r="U208" s="106"/>
      <c r="V208" s="106"/>
      <c r="W208" s="106"/>
      <c r="X208" s="106"/>
      <c r="Y208" s="106"/>
      <c r="Z208" s="106"/>
      <c r="AA208" s="106"/>
      <c r="AB208" s="106"/>
      <c r="AC208" s="106"/>
      <c r="AD208" s="106"/>
      <c r="AE208" s="106"/>
      <c r="AF208" s="106"/>
      <c r="AG208" s="106"/>
      <c r="AH208" s="106"/>
      <c r="AI208" s="106"/>
      <c r="AJ208" s="106"/>
    </row>
    <row r="209" spans="1:36" s="99" customFormat="1">
      <c r="A209" s="77">
        <f>IF(F209&lt;&gt;"",1+MAX($A$2:A208),"")</f>
        <v>178</v>
      </c>
      <c r="B209" s="56"/>
      <c r="C209" s="107"/>
      <c r="D209" s="57" t="s">
        <v>219</v>
      </c>
      <c r="E209" s="81">
        <v>2</v>
      </c>
      <c r="F209" s="108">
        <v>0</v>
      </c>
      <c r="G209" s="109">
        <f t="shared" si="132"/>
        <v>2</v>
      </c>
      <c r="H209" s="79" t="s">
        <v>43</v>
      </c>
      <c r="I209" s="71">
        <v>1.1000000000000001</v>
      </c>
      <c r="J209" s="72">
        <f t="shared" si="133"/>
        <v>2.2000000000000002</v>
      </c>
      <c r="K209" s="73">
        <f>'LABOR SHEET'!C$3</f>
        <v>46.5</v>
      </c>
      <c r="L209" s="74">
        <f t="shared" si="134"/>
        <v>51.150000000000006</v>
      </c>
      <c r="M209" s="74">
        <f t="shared" si="135"/>
        <v>102.30000000000001</v>
      </c>
      <c r="N209" s="74">
        <v>125</v>
      </c>
      <c r="O209" s="74">
        <f t="shared" si="136"/>
        <v>250</v>
      </c>
      <c r="P209" s="74">
        <f t="shared" si="137"/>
        <v>176.15</v>
      </c>
      <c r="Q209" s="58">
        <f t="shared" si="138"/>
        <v>352.3</v>
      </c>
      <c r="R209" s="106"/>
      <c r="S209" s="106"/>
      <c r="T209" s="106"/>
      <c r="U209" s="106"/>
      <c r="V209" s="106"/>
      <c r="W209" s="106"/>
      <c r="X209" s="106"/>
      <c r="Y209" s="106"/>
      <c r="Z209" s="106"/>
      <c r="AA209" s="106"/>
      <c r="AB209" s="106"/>
      <c r="AC209" s="106"/>
      <c r="AD209" s="106"/>
      <c r="AE209" s="106"/>
      <c r="AF209" s="106"/>
      <c r="AG209" s="106"/>
      <c r="AH209" s="106"/>
      <c r="AI209" s="106"/>
      <c r="AJ209" s="106"/>
    </row>
    <row r="210" spans="1:36" s="99" customFormat="1">
      <c r="A210" s="65">
        <f>IF(F210&lt;&gt;"",1+MAX($A$2:A209),"")</f>
        <v>179</v>
      </c>
      <c r="B210" s="56"/>
      <c r="C210" s="107"/>
      <c r="D210" s="57" t="s">
        <v>220</v>
      </c>
      <c r="E210" s="81">
        <v>2</v>
      </c>
      <c r="F210" s="108">
        <v>0</v>
      </c>
      <c r="G210" s="109">
        <f t="shared" si="132"/>
        <v>2</v>
      </c>
      <c r="H210" s="79" t="s">
        <v>43</v>
      </c>
      <c r="I210" s="71">
        <v>1.3</v>
      </c>
      <c r="J210" s="72">
        <f t="shared" si="133"/>
        <v>2.6</v>
      </c>
      <c r="K210" s="73">
        <f>'LABOR SHEET'!C$3</f>
        <v>46.5</v>
      </c>
      <c r="L210" s="74">
        <f t="shared" si="134"/>
        <v>60.45</v>
      </c>
      <c r="M210" s="74">
        <f t="shared" si="135"/>
        <v>120.9</v>
      </c>
      <c r="N210" s="74">
        <v>144</v>
      </c>
      <c r="O210" s="74">
        <f t="shared" si="136"/>
        <v>288</v>
      </c>
      <c r="P210" s="74">
        <f t="shared" si="137"/>
        <v>204.45</v>
      </c>
      <c r="Q210" s="58">
        <f t="shared" si="138"/>
        <v>408.9</v>
      </c>
      <c r="R210" s="106"/>
      <c r="S210" s="106"/>
      <c r="T210" s="106"/>
      <c r="U210" s="106"/>
      <c r="V210" s="106"/>
      <c r="W210" s="106"/>
      <c r="X210" s="106"/>
      <c r="Y210" s="106"/>
      <c r="Z210" s="106"/>
      <c r="AA210" s="106"/>
      <c r="AB210" s="106"/>
      <c r="AC210" s="106"/>
      <c r="AD210" s="106"/>
      <c r="AE210" s="106"/>
      <c r="AF210" s="106"/>
      <c r="AG210" s="106"/>
      <c r="AH210" s="106"/>
      <c r="AI210" s="106"/>
      <c r="AJ210" s="106"/>
    </row>
    <row r="211" spans="1:36" s="99" customFormat="1">
      <c r="A211" s="77" t="str">
        <f>IF(F211&lt;&gt;"",1+MAX($A$2:A210),"")</f>
        <v/>
      </c>
      <c r="B211" s="56"/>
      <c r="C211" s="107"/>
      <c r="D211" s="57"/>
      <c r="E211" s="81"/>
      <c r="F211" s="108"/>
      <c r="G211" s="109"/>
      <c r="H211" s="79"/>
      <c r="I211" s="71"/>
      <c r="J211" s="72"/>
      <c r="K211" s="73"/>
      <c r="L211" s="74"/>
      <c r="M211" s="74"/>
      <c r="N211" s="74"/>
      <c r="O211" s="74"/>
      <c r="P211" s="74"/>
      <c r="Q211" s="58"/>
      <c r="R211" s="106"/>
      <c r="S211" s="106"/>
      <c r="T211" s="106"/>
      <c r="U211" s="106"/>
      <c r="V211" s="106"/>
      <c r="W211" s="106"/>
      <c r="X211" s="106"/>
      <c r="Y211" s="106"/>
      <c r="Z211" s="106"/>
      <c r="AA211" s="106"/>
      <c r="AB211" s="106"/>
      <c r="AC211" s="106"/>
      <c r="AD211" s="106"/>
      <c r="AE211" s="106"/>
      <c r="AF211" s="106"/>
      <c r="AG211" s="106"/>
      <c r="AH211" s="106"/>
      <c r="AI211" s="106"/>
      <c r="AJ211" s="106"/>
    </row>
    <row r="212" spans="1:36" s="99" customFormat="1" ht="46.8">
      <c r="A212" s="65" t="str">
        <f>IF(F212&lt;&gt;"",1+MAX($A$2:A211),"")</f>
        <v/>
      </c>
      <c r="B212" s="56"/>
      <c r="C212" s="107"/>
      <c r="D212" s="110" t="s">
        <v>368</v>
      </c>
      <c r="E212" s="81"/>
      <c r="F212" s="108"/>
      <c r="G212" s="109"/>
      <c r="H212" s="79"/>
      <c r="I212" s="71"/>
      <c r="J212" s="72"/>
      <c r="K212" s="73"/>
      <c r="L212" s="74"/>
      <c r="M212" s="74"/>
      <c r="N212" s="74"/>
      <c r="O212" s="74"/>
      <c r="P212" s="74"/>
      <c r="Q212" s="58"/>
      <c r="R212" s="106"/>
      <c r="S212" s="106"/>
      <c r="T212" s="106"/>
      <c r="U212" s="106"/>
      <c r="V212" s="106"/>
      <c r="W212" s="106"/>
      <c r="X212" s="106"/>
      <c r="Y212" s="106"/>
      <c r="Z212" s="106"/>
      <c r="AA212" s="106"/>
      <c r="AB212" s="106"/>
      <c r="AC212" s="106"/>
      <c r="AD212" s="106"/>
      <c r="AE212" s="106"/>
      <c r="AF212" s="106"/>
      <c r="AG212" s="106"/>
      <c r="AH212" s="106"/>
      <c r="AI212" s="106"/>
      <c r="AJ212" s="106"/>
    </row>
    <row r="213" spans="1:36" s="99" customFormat="1">
      <c r="A213" s="77">
        <f>IF(F213&lt;&gt;"",1+MAX($A$2:A212),"")</f>
        <v>180</v>
      </c>
      <c r="B213" s="56"/>
      <c r="C213" s="107"/>
      <c r="D213" s="57" t="s">
        <v>221</v>
      </c>
      <c r="E213" s="81">
        <v>1</v>
      </c>
      <c r="F213" s="108">
        <v>0</v>
      </c>
      <c r="G213" s="109">
        <f t="shared" ref="G213:G222" si="139">E213*(1+F213)</f>
        <v>1</v>
      </c>
      <c r="H213" s="79" t="s">
        <v>43</v>
      </c>
      <c r="I213" s="71">
        <v>0.2</v>
      </c>
      <c r="J213" s="72">
        <f t="shared" ref="J213:J247" si="140">+I213*G213</f>
        <v>0.2</v>
      </c>
      <c r="K213" s="73">
        <f>'LABOR SHEET'!C$3</f>
        <v>46.5</v>
      </c>
      <c r="L213" s="74">
        <f t="shared" ref="L213:L247" si="141">I213*K213</f>
        <v>9.3000000000000007</v>
      </c>
      <c r="M213" s="74">
        <f t="shared" ref="M213:M247" si="142">K213*J213</f>
        <v>9.3000000000000007</v>
      </c>
      <c r="N213" s="74">
        <v>50</v>
      </c>
      <c r="O213" s="74">
        <f t="shared" ref="O213:O247" si="143">N213*G213</f>
        <v>50</v>
      </c>
      <c r="P213" s="74">
        <f t="shared" ref="P213:P247" si="144">(I213*K213)+N213</f>
        <v>59.3</v>
      </c>
      <c r="Q213" s="58">
        <f t="shared" ref="Q213:Q247" si="145">P213*G213</f>
        <v>59.3</v>
      </c>
      <c r="R213" s="106"/>
      <c r="S213" s="106"/>
      <c r="T213" s="106"/>
      <c r="U213" s="106"/>
      <c r="V213" s="106"/>
      <c r="W213" s="106"/>
      <c r="X213" s="106"/>
      <c r="Y213" s="106"/>
      <c r="Z213" s="106"/>
      <c r="AA213" s="106"/>
      <c r="AB213" s="106"/>
      <c r="AC213" s="106"/>
      <c r="AD213" s="106"/>
      <c r="AE213" s="106"/>
      <c r="AF213" s="106"/>
      <c r="AG213" s="106"/>
      <c r="AH213" s="106"/>
      <c r="AI213" s="106"/>
      <c r="AJ213" s="106"/>
    </row>
    <row r="214" spans="1:36" s="99" customFormat="1">
      <c r="A214" s="65">
        <f>IF(F214&lt;&gt;"",1+MAX($A$2:A213),"")</f>
        <v>181</v>
      </c>
      <c r="B214" s="56"/>
      <c r="C214" s="107"/>
      <c r="D214" s="57" t="s">
        <v>222</v>
      </c>
      <c r="E214" s="81">
        <v>1</v>
      </c>
      <c r="F214" s="108">
        <v>0</v>
      </c>
      <c r="G214" s="109">
        <f t="shared" si="139"/>
        <v>1</v>
      </c>
      <c r="H214" s="79" t="s">
        <v>43</v>
      </c>
      <c r="I214" s="71">
        <v>0.22</v>
      </c>
      <c r="J214" s="72">
        <f t="shared" si="140"/>
        <v>0.22</v>
      </c>
      <c r="K214" s="73">
        <f>'LABOR SHEET'!C$3</f>
        <v>46.5</v>
      </c>
      <c r="L214" s="74">
        <f t="shared" si="141"/>
        <v>10.23</v>
      </c>
      <c r="M214" s="74">
        <f t="shared" si="142"/>
        <v>10.23</v>
      </c>
      <c r="N214" s="74">
        <v>60</v>
      </c>
      <c r="O214" s="74">
        <f t="shared" si="143"/>
        <v>60</v>
      </c>
      <c r="P214" s="74">
        <f t="shared" si="144"/>
        <v>70.23</v>
      </c>
      <c r="Q214" s="58">
        <f t="shared" si="145"/>
        <v>70.23</v>
      </c>
      <c r="R214" s="106"/>
      <c r="S214" s="106"/>
      <c r="T214" s="106"/>
      <c r="U214" s="106"/>
      <c r="V214" s="106"/>
      <c r="W214" s="106"/>
      <c r="X214" s="106"/>
      <c r="Y214" s="106"/>
      <c r="Z214" s="106"/>
      <c r="AA214" s="106"/>
      <c r="AB214" s="106"/>
      <c r="AC214" s="106"/>
      <c r="AD214" s="106"/>
      <c r="AE214" s="106"/>
      <c r="AF214" s="106"/>
      <c r="AG214" s="106"/>
      <c r="AH214" s="106"/>
      <c r="AI214" s="106"/>
      <c r="AJ214" s="106"/>
    </row>
    <row r="215" spans="1:36" s="99" customFormat="1">
      <c r="A215" s="77">
        <f>IF(F215&lt;&gt;"",1+MAX($A$2:A214),"")</f>
        <v>182</v>
      </c>
      <c r="B215" s="56"/>
      <c r="C215" s="107"/>
      <c r="D215" s="57" t="s">
        <v>223</v>
      </c>
      <c r="E215" s="81">
        <v>2</v>
      </c>
      <c r="F215" s="108">
        <v>0</v>
      </c>
      <c r="G215" s="109">
        <f t="shared" si="139"/>
        <v>2</v>
      </c>
      <c r="H215" s="79" t="s">
        <v>43</v>
      </c>
      <c r="I215" s="71">
        <v>0.23</v>
      </c>
      <c r="J215" s="72">
        <f t="shared" si="140"/>
        <v>0.46</v>
      </c>
      <c r="K215" s="73">
        <f>'LABOR SHEET'!C$3</f>
        <v>46.5</v>
      </c>
      <c r="L215" s="74">
        <f t="shared" si="141"/>
        <v>10.695</v>
      </c>
      <c r="M215" s="74">
        <f t="shared" si="142"/>
        <v>21.39</v>
      </c>
      <c r="N215" s="74">
        <v>90</v>
      </c>
      <c r="O215" s="74">
        <f t="shared" si="143"/>
        <v>180</v>
      </c>
      <c r="P215" s="74">
        <f t="shared" si="144"/>
        <v>100.69499999999999</v>
      </c>
      <c r="Q215" s="58">
        <f t="shared" si="145"/>
        <v>201.39</v>
      </c>
      <c r="R215" s="106"/>
      <c r="S215" s="106"/>
      <c r="T215" s="106"/>
      <c r="U215" s="106"/>
      <c r="V215" s="106"/>
      <c r="W215" s="106"/>
      <c r="X215" s="106"/>
      <c r="Y215" s="106"/>
      <c r="Z215" s="106"/>
      <c r="AA215" s="106"/>
      <c r="AB215" s="106"/>
      <c r="AC215" s="106"/>
      <c r="AD215" s="106"/>
      <c r="AE215" s="106"/>
      <c r="AF215" s="106"/>
      <c r="AG215" s="106"/>
      <c r="AH215" s="106"/>
      <c r="AI215" s="106"/>
      <c r="AJ215" s="106"/>
    </row>
    <row r="216" spans="1:36" s="99" customFormat="1">
      <c r="A216" s="65">
        <f>IF(F216&lt;&gt;"",1+MAX($A$2:A215),"")</f>
        <v>183</v>
      </c>
      <c r="B216" s="56"/>
      <c r="C216" s="107"/>
      <c r="D216" s="57" t="s">
        <v>224</v>
      </c>
      <c r="E216" s="81">
        <v>2</v>
      </c>
      <c r="F216" s="108">
        <v>0</v>
      </c>
      <c r="G216" s="109">
        <f t="shared" si="139"/>
        <v>2</v>
      </c>
      <c r="H216" s="79" t="s">
        <v>43</v>
      </c>
      <c r="I216" s="71">
        <v>0.25</v>
      </c>
      <c r="J216" s="72">
        <f t="shared" si="140"/>
        <v>0.5</v>
      </c>
      <c r="K216" s="73">
        <f>'LABOR SHEET'!C$3</f>
        <v>46.5</v>
      </c>
      <c r="L216" s="74">
        <f t="shared" si="141"/>
        <v>11.625</v>
      </c>
      <c r="M216" s="74">
        <f t="shared" si="142"/>
        <v>23.25</v>
      </c>
      <c r="N216" s="74">
        <v>100</v>
      </c>
      <c r="O216" s="74">
        <f t="shared" si="143"/>
        <v>200</v>
      </c>
      <c r="P216" s="74">
        <f t="shared" si="144"/>
        <v>111.625</v>
      </c>
      <c r="Q216" s="58">
        <f t="shared" si="145"/>
        <v>223.25</v>
      </c>
      <c r="R216" s="106"/>
      <c r="S216" s="106"/>
      <c r="T216" s="106"/>
      <c r="U216" s="106"/>
      <c r="V216" s="106"/>
      <c r="W216" s="106"/>
      <c r="X216" s="106"/>
      <c r="Y216" s="106"/>
      <c r="Z216" s="106"/>
      <c r="AA216" s="106"/>
      <c r="AB216" s="106"/>
      <c r="AC216" s="106"/>
      <c r="AD216" s="106"/>
      <c r="AE216" s="106"/>
      <c r="AF216" s="106"/>
      <c r="AG216" s="106"/>
      <c r="AH216" s="106"/>
      <c r="AI216" s="106"/>
      <c r="AJ216" s="106"/>
    </row>
    <row r="217" spans="1:36" s="99" customFormat="1">
      <c r="A217" s="77">
        <f>IF(F217&lt;&gt;"",1+MAX($A$2:A216),"")</f>
        <v>184</v>
      </c>
      <c r="B217" s="56"/>
      <c r="C217" s="107"/>
      <c r="D217" s="57" t="s">
        <v>225</v>
      </c>
      <c r="E217" s="81">
        <v>2</v>
      </c>
      <c r="F217" s="108">
        <v>0</v>
      </c>
      <c r="G217" s="109">
        <f t="shared" si="139"/>
        <v>2</v>
      </c>
      <c r="H217" s="79" t="s">
        <v>43</v>
      </c>
      <c r="I217" s="71">
        <v>0.26</v>
      </c>
      <c r="J217" s="72">
        <f t="shared" si="140"/>
        <v>0.52</v>
      </c>
      <c r="K217" s="73">
        <f>'LABOR SHEET'!C$3</f>
        <v>46.5</v>
      </c>
      <c r="L217" s="74">
        <f t="shared" si="141"/>
        <v>12.09</v>
      </c>
      <c r="M217" s="74">
        <f t="shared" si="142"/>
        <v>24.18</v>
      </c>
      <c r="N217" s="74">
        <v>20</v>
      </c>
      <c r="O217" s="74">
        <f t="shared" si="143"/>
        <v>40</v>
      </c>
      <c r="P217" s="74">
        <f t="shared" si="144"/>
        <v>32.090000000000003</v>
      </c>
      <c r="Q217" s="58">
        <f t="shared" si="145"/>
        <v>64.180000000000007</v>
      </c>
      <c r="R217" s="106"/>
      <c r="S217" s="106"/>
      <c r="T217" s="106"/>
      <c r="U217" s="106"/>
      <c r="V217" s="106"/>
      <c r="W217" s="106"/>
      <c r="X217" s="106"/>
      <c r="Y217" s="106"/>
      <c r="Z217" s="106"/>
      <c r="AA217" s="106"/>
      <c r="AB217" s="106"/>
      <c r="AC217" s="106"/>
      <c r="AD217" s="106"/>
      <c r="AE217" s="106"/>
      <c r="AF217" s="106"/>
      <c r="AG217" s="106"/>
      <c r="AH217" s="106"/>
      <c r="AI217" s="106"/>
      <c r="AJ217" s="106"/>
    </row>
    <row r="218" spans="1:36" s="99" customFormat="1">
      <c r="A218" s="65">
        <f>IF(F218&lt;&gt;"",1+MAX($A$2:A217),"")</f>
        <v>185</v>
      </c>
      <c r="B218" s="56"/>
      <c r="C218" s="107"/>
      <c r="D218" s="57" t="s">
        <v>226</v>
      </c>
      <c r="E218" s="81">
        <v>4</v>
      </c>
      <c r="F218" s="108">
        <v>0</v>
      </c>
      <c r="G218" s="109">
        <f t="shared" si="139"/>
        <v>4</v>
      </c>
      <c r="H218" s="79" t="s">
        <v>43</v>
      </c>
      <c r="I218" s="71">
        <v>0.2</v>
      </c>
      <c r="J218" s="72">
        <f t="shared" si="140"/>
        <v>0.8</v>
      </c>
      <c r="K218" s="73">
        <f>'LABOR SHEET'!C$3</f>
        <v>46.5</v>
      </c>
      <c r="L218" s="74">
        <f t="shared" si="141"/>
        <v>9.3000000000000007</v>
      </c>
      <c r="M218" s="74">
        <f t="shared" si="142"/>
        <v>37.200000000000003</v>
      </c>
      <c r="N218" s="74">
        <v>30</v>
      </c>
      <c r="O218" s="74">
        <f t="shared" si="143"/>
        <v>120</v>
      </c>
      <c r="P218" s="74">
        <f t="shared" si="144"/>
        <v>39.299999999999997</v>
      </c>
      <c r="Q218" s="58">
        <f t="shared" si="145"/>
        <v>157.19999999999999</v>
      </c>
      <c r="R218" s="106"/>
      <c r="S218" s="106"/>
      <c r="T218" s="106"/>
      <c r="U218" s="106"/>
      <c r="V218" s="106"/>
      <c r="W218" s="106"/>
      <c r="X218" s="106"/>
      <c r="Y218" s="106"/>
      <c r="Z218" s="106"/>
      <c r="AA218" s="106"/>
      <c r="AB218" s="106"/>
      <c r="AC218" s="106"/>
      <c r="AD218" s="106"/>
      <c r="AE218" s="106"/>
      <c r="AF218" s="106"/>
      <c r="AG218" s="106"/>
      <c r="AH218" s="106"/>
      <c r="AI218" s="106"/>
      <c r="AJ218" s="106"/>
    </row>
    <row r="219" spans="1:36" s="99" customFormat="1">
      <c r="A219" s="77">
        <f>IF(F219&lt;&gt;"",1+MAX($A$2:A218),"")</f>
        <v>186</v>
      </c>
      <c r="B219" s="56"/>
      <c r="C219" s="107"/>
      <c r="D219" s="57" t="s">
        <v>227</v>
      </c>
      <c r="E219" s="81">
        <v>2</v>
      </c>
      <c r="F219" s="108">
        <v>0</v>
      </c>
      <c r="G219" s="109">
        <f t="shared" si="139"/>
        <v>2</v>
      </c>
      <c r="H219" s="79" t="s">
        <v>43</v>
      </c>
      <c r="I219" s="71">
        <v>0.22</v>
      </c>
      <c r="J219" s="72">
        <f t="shared" si="140"/>
        <v>0.44</v>
      </c>
      <c r="K219" s="73">
        <f>'LABOR SHEET'!C$3</f>
        <v>46.5</v>
      </c>
      <c r="L219" s="74">
        <f t="shared" si="141"/>
        <v>10.23</v>
      </c>
      <c r="M219" s="74">
        <f t="shared" si="142"/>
        <v>20.46</v>
      </c>
      <c r="N219" s="74">
        <v>30</v>
      </c>
      <c r="O219" s="74">
        <f t="shared" si="143"/>
        <v>60</v>
      </c>
      <c r="P219" s="74">
        <f t="shared" si="144"/>
        <v>40.230000000000004</v>
      </c>
      <c r="Q219" s="58">
        <f t="shared" si="145"/>
        <v>80.460000000000008</v>
      </c>
      <c r="R219" s="106"/>
      <c r="S219" s="106"/>
      <c r="T219" s="106"/>
      <c r="U219" s="106"/>
      <c r="V219" s="106"/>
      <c r="W219" s="106"/>
      <c r="X219" s="106"/>
      <c r="Y219" s="106"/>
      <c r="Z219" s="106"/>
      <c r="AA219" s="106"/>
      <c r="AB219" s="106"/>
      <c r="AC219" s="106"/>
      <c r="AD219" s="106"/>
      <c r="AE219" s="106"/>
      <c r="AF219" s="106"/>
      <c r="AG219" s="106"/>
      <c r="AH219" s="106"/>
      <c r="AI219" s="106"/>
      <c r="AJ219" s="106"/>
    </row>
    <row r="220" spans="1:36" s="99" customFormat="1">
      <c r="A220" s="65">
        <f>IF(F220&lt;&gt;"",1+MAX($A$2:A219),"")</f>
        <v>187</v>
      </c>
      <c r="B220" s="56"/>
      <c r="C220" s="107"/>
      <c r="D220" s="57" t="s">
        <v>228</v>
      </c>
      <c r="E220" s="81">
        <v>1</v>
      </c>
      <c r="F220" s="108">
        <v>0</v>
      </c>
      <c r="G220" s="109">
        <f t="shared" si="139"/>
        <v>1</v>
      </c>
      <c r="H220" s="79" t="s">
        <v>43</v>
      </c>
      <c r="I220" s="71">
        <v>0.2</v>
      </c>
      <c r="J220" s="72">
        <f t="shared" si="140"/>
        <v>0.2</v>
      </c>
      <c r="K220" s="73">
        <f>'LABOR SHEET'!C$3</f>
        <v>46.5</v>
      </c>
      <c r="L220" s="74">
        <f t="shared" si="141"/>
        <v>9.3000000000000007</v>
      </c>
      <c r="M220" s="74">
        <f t="shared" si="142"/>
        <v>9.3000000000000007</v>
      </c>
      <c r="N220" s="74">
        <v>40</v>
      </c>
      <c r="O220" s="74">
        <f t="shared" si="143"/>
        <v>40</v>
      </c>
      <c r="P220" s="74">
        <f t="shared" si="144"/>
        <v>49.3</v>
      </c>
      <c r="Q220" s="58">
        <f t="shared" si="145"/>
        <v>49.3</v>
      </c>
      <c r="R220" s="106"/>
      <c r="S220" s="106"/>
      <c r="T220" s="106"/>
      <c r="U220" s="106"/>
      <c r="V220" s="106"/>
      <c r="W220" s="106"/>
      <c r="X220" s="106"/>
      <c r="Y220" s="106"/>
      <c r="Z220" s="106"/>
      <c r="AA220" s="106"/>
      <c r="AB220" s="106"/>
      <c r="AC220" s="106"/>
      <c r="AD220" s="106"/>
      <c r="AE220" s="106"/>
      <c r="AF220" s="106"/>
      <c r="AG220" s="106"/>
      <c r="AH220" s="106"/>
      <c r="AI220" s="106"/>
      <c r="AJ220" s="106"/>
    </row>
    <row r="221" spans="1:36" s="99" customFormat="1">
      <c r="A221" s="77">
        <f>IF(F221&lt;&gt;"",1+MAX($A$2:A220),"")</f>
        <v>188</v>
      </c>
      <c r="B221" s="56"/>
      <c r="C221" s="107"/>
      <c r="D221" s="57" t="s">
        <v>229</v>
      </c>
      <c r="E221" s="81">
        <v>1</v>
      </c>
      <c r="F221" s="108">
        <v>0</v>
      </c>
      <c r="G221" s="109">
        <f t="shared" si="139"/>
        <v>1</v>
      </c>
      <c r="H221" s="79" t="s">
        <v>43</v>
      </c>
      <c r="I221" s="71">
        <v>0.25</v>
      </c>
      <c r="J221" s="72">
        <f t="shared" si="140"/>
        <v>0.25</v>
      </c>
      <c r="K221" s="73">
        <f>'LABOR SHEET'!C$3</f>
        <v>46.5</v>
      </c>
      <c r="L221" s="74">
        <f t="shared" si="141"/>
        <v>11.625</v>
      </c>
      <c r="M221" s="74">
        <f t="shared" si="142"/>
        <v>11.625</v>
      </c>
      <c r="N221" s="74">
        <v>50</v>
      </c>
      <c r="O221" s="74">
        <f t="shared" si="143"/>
        <v>50</v>
      </c>
      <c r="P221" s="74">
        <f t="shared" si="144"/>
        <v>61.625</v>
      </c>
      <c r="Q221" s="58">
        <f t="shared" si="145"/>
        <v>61.625</v>
      </c>
      <c r="R221" s="106"/>
      <c r="S221" s="106"/>
      <c r="T221" s="106"/>
      <c r="U221" s="106"/>
      <c r="V221" s="106"/>
      <c r="W221" s="106"/>
      <c r="X221" s="106"/>
      <c r="Y221" s="106"/>
      <c r="Z221" s="106"/>
      <c r="AA221" s="106"/>
      <c r="AB221" s="106"/>
      <c r="AC221" s="106"/>
      <c r="AD221" s="106"/>
      <c r="AE221" s="106"/>
      <c r="AF221" s="106"/>
      <c r="AG221" s="106"/>
      <c r="AH221" s="106"/>
      <c r="AI221" s="106"/>
      <c r="AJ221" s="106"/>
    </row>
    <row r="222" spans="1:36" s="99" customFormat="1">
      <c r="A222" s="65">
        <f>IF(F222&lt;&gt;"",1+MAX($A$2:A221),"")</f>
        <v>189</v>
      </c>
      <c r="B222" s="56"/>
      <c r="C222" s="107"/>
      <c r="D222" s="57" t="s">
        <v>230</v>
      </c>
      <c r="E222" s="81">
        <v>4</v>
      </c>
      <c r="F222" s="108">
        <v>0</v>
      </c>
      <c r="G222" s="109">
        <f t="shared" si="139"/>
        <v>4</v>
      </c>
      <c r="H222" s="79" t="s">
        <v>43</v>
      </c>
      <c r="I222" s="71">
        <v>0.26</v>
      </c>
      <c r="J222" s="72">
        <f t="shared" si="140"/>
        <v>1.04</v>
      </c>
      <c r="K222" s="73">
        <f>'LABOR SHEET'!C$3</f>
        <v>46.5</v>
      </c>
      <c r="L222" s="74">
        <f t="shared" si="141"/>
        <v>12.09</v>
      </c>
      <c r="M222" s="74">
        <f t="shared" si="142"/>
        <v>48.36</v>
      </c>
      <c r="N222" s="74">
        <v>60</v>
      </c>
      <c r="O222" s="74">
        <f t="shared" si="143"/>
        <v>240</v>
      </c>
      <c r="P222" s="74">
        <f t="shared" si="144"/>
        <v>72.09</v>
      </c>
      <c r="Q222" s="58">
        <f t="shared" si="145"/>
        <v>288.36</v>
      </c>
      <c r="R222" s="106"/>
      <c r="S222" s="106"/>
      <c r="T222" s="106"/>
      <c r="U222" s="106"/>
      <c r="V222" s="106"/>
      <c r="W222" s="106"/>
      <c r="X222" s="106"/>
      <c r="Y222" s="106"/>
      <c r="Z222" s="106"/>
      <c r="AA222" s="106"/>
      <c r="AB222" s="106"/>
      <c r="AC222" s="106"/>
      <c r="AD222" s="106"/>
      <c r="AE222" s="106"/>
      <c r="AF222" s="106"/>
      <c r="AG222" s="106"/>
      <c r="AH222" s="106"/>
      <c r="AI222" s="106"/>
      <c r="AJ222" s="106"/>
    </row>
    <row r="223" spans="1:36" s="99" customFormat="1">
      <c r="A223" s="77">
        <f>IF(F223&lt;&gt;"",1+MAX($A$2:A222),"")</f>
        <v>190</v>
      </c>
      <c r="B223" s="56"/>
      <c r="C223" s="107"/>
      <c r="D223" s="57" t="s">
        <v>231</v>
      </c>
      <c r="E223" s="81">
        <v>1</v>
      </c>
      <c r="F223" s="108">
        <v>0</v>
      </c>
      <c r="G223" s="109">
        <f t="shared" ref="G223:G234" si="146">E223*(1+F223)</f>
        <v>1</v>
      </c>
      <c r="H223" s="79" t="s">
        <v>43</v>
      </c>
      <c r="I223" s="71">
        <v>0.27</v>
      </c>
      <c r="J223" s="72">
        <f t="shared" si="140"/>
        <v>0.27</v>
      </c>
      <c r="K223" s="73">
        <f>'LABOR SHEET'!C$3</f>
        <v>46.5</v>
      </c>
      <c r="L223" s="74">
        <f t="shared" si="141"/>
        <v>12.555000000000001</v>
      </c>
      <c r="M223" s="74">
        <f t="shared" si="142"/>
        <v>12.555000000000001</v>
      </c>
      <c r="N223" s="74">
        <v>30</v>
      </c>
      <c r="O223" s="74">
        <f t="shared" si="143"/>
        <v>30</v>
      </c>
      <c r="P223" s="74">
        <f t="shared" si="144"/>
        <v>42.555</v>
      </c>
      <c r="Q223" s="58">
        <f t="shared" si="145"/>
        <v>42.555</v>
      </c>
      <c r="R223" s="106"/>
      <c r="S223" s="106"/>
      <c r="T223" s="106"/>
      <c r="U223" s="106"/>
      <c r="V223" s="106"/>
      <c r="W223" s="106"/>
      <c r="X223" s="106"/>
      <c r="Y223" s="106"/>
      <c r="Z223" s="106"/>
      <c r="AA223" s="106"/>
      <c r="AB223" s="106"/>
      <c r="AC223" s="106"/>
      <c r="AD223" s="106"/>
      <c r="AE223" s="106"/>
      <c r="AF223" s="106"/>
      <c r="AG223" s="106"/>
      <c r="AH223" s="106"/>
      <c r="AI223" s="106"/>
      <c r="AJ223" s="106"/>
    </row>
    <row r="224" spans="1:36" s="99" customFormat="1">
      <c r="A224" s="65">
        <f>IF(F224&lt;&gt;"",1+MAX($A$2:A223),"")</f>
        <v>191</v>
      </c>
      <c r="B224" s="56"/>
      <c r="C224" s="107"/>
      <c r="D224" s="57" t="s">
        <v>232</v>
      </c>
      <c r="E224" s="81">
        <v>1</v>
      </c>
      <c r="F224" s="108">
        <v>0</v>
      </c>
      <c r="G224" s="109">
        <f t="shared" si="146"/>
        <v>1</v>
      </c>
      <c r="H224" s="79" t="s">
        <v>43</v>
      </c>
      <c r="I224" s="71">
        <v>0.2</v>
      </c>
      <c r="J224" s="72">
        <f t="shared" si="140"/>
        <v>0.2</v>
      </c>
      <c r="K224" s="73">
        <f>'LABOR SHEET'!C$3</f>
        <v>46.5</v>
      </c>
      <c r="L224" s="74">
        <f t="shared" si="141"/>
        <v>9.3000000000000007</v>
      </c>
      <c r="M224" s="74">
        <f t="shared" si="142"/>
        <v>9.3000000000000007</v>
      </c>
      <c r="N224" s="74">
        <v>40</v>
      </c>
      <c r="O224" s="74">
        <f t="shared" si="143"/>
        <v>40</v>
      </c>
      <c r="P224" s="74">
        <f t="shared" si="144"/>
        <v>49.3</v>
      </c>
      <c r="Q224" s="58">
        <f t="shared" si="145"/>
        <v>49.3</v>
      </c>
      <c r="R224" s="106"/>
      <c r="S224" s="106"/>
      <c r="T224" s="106"/>
      <c r="U224" s="106"/>
      <c r="V224" s="106"/>
      <c r="W224" s="106"/>
      <c r="X224" s="106"/>
      <c r="Y224" s="106"/>
      <c r="Z224" s="106"/>
      <c r="AA224" s="106"/>
      <c r="AB224" s="106"/>
      <c r="AC224" s="106"/>
      <c r="AD224" s="106"/>
      <c r="AE224" s="106"/>
      <c r="AF224" s="106"/>
      <c r="AG224" s="106"/>
      <c r="AH224" s="106"/>
      <c r="AI224" s="106"/>
      <c r="AJ224" s="106"/>
    </row>
    <row r="225" spans="1:36" s="99" customFormat="1">
      <c r="A225" s="77">
        <f>IF(F225&lt;&gt;"",1+MAX($A$2:A224),"")</f>
        <v>192</v>
      </c>
      <c r="B225" s="56"/>
      <c r="C225" s="107"/>
      <c r="D225" s="57" t="s">
        <v>233</v>
      </c>
      <c r="E225" s="81">
        <v>1</v>
      </c>
      <c r="F225" s="108">
        <v>0</v>
      </c>
      <c r="G225" s="109">
        <f t="shared" si="146"/>
        <v>1</v>
      </c>
      <c r="H225" s="79" t="s">
        <v>43</v>
      </c>
      <c r="I225" s="71">
        <v>0.25</v>
      </c>
      <c r="J225" s="72">
        <f t="shared" si="140"/>
        <v>0.25</v>
      </c>
      <c r="K225" s="73">
        <f>'LABOR SHEET'!C$3</f>
        <v>46.5</v>
      </c>
      <c r="L225" s="74">
        <f t="shared" si="141"/>
        <v>11.625</v>
      </c>
      <c r="M225" s="74">
        <f t="shared" si="142"/>
        <v>11.625</v>
      </c>
      <c r="N225" s="74">
        <v>50</v>
      </c>
      <c r="O225" s="74">
        <f t="shared" si="143"/>
        <v>50</v>
      </c>
      <c r="P225" s="74">
        <f t="shared" si="144"/>
        <v>61.625</v>
      </c>
      <c r="Q225" s="58">
        <f t="shared" si="145"/>
        <v>61.625</v>
      </c>
      <c r="R225" s="106"/>
      <c r="S225" s="106"/>
      <c r="T225" s="106"/>
      <c r="U225" s="106"/>
      <c r="V225" s="106"/>
      <c r="W225" s="106"/>
      <c r="X225" s="106"/>
      <c r="Y225" s="106"/>
      <c r="Z225" s="106"/>
      <c r="AA225" s="106"/>
      <c r="AB225" s="106"/>
      <c r="AC225" s="106"/>
      <c r="AD225" s="106"/>
      <c r="AE225" s="106"/>
      <c r="AF225" s="106"/>
      <c r="AG225" s="106"/>
      <c r="AH225" s="106"/>
      <c r="AI225" s="106"/>
      <c r="AJ225" s="106"/>
    </row>
    <row r="226" spans="1:36" s="99" customFormat="1">
      <c r="A226" s="65">
        <f>IF(F226&lt;&gt;"",1+MAX($A$2:A225),"")</f>
        <v>193</v>
      </c>
      <c r="B226" s="56"/>
      <c r="C226" s="107"/>
      <c r="D226" s="57" t="s">
        <v>234</v>
      </c>
      <c r="E226" s="81">
        <v>2</v>
      </c>
      <c r="F226" s="108">
        <v>0</v>
      </c>
      <c r="G226" s="109">
        <f t="shared" si="146"/>
        <v>2</v>
      </c>
      <c r="H226" s="79" t="s">
        <v>43</v>
      </c>
      <c r="I226" s="71">
        <v>0.26</v>
      </c>
      <c r="J226" s="72">
        <f t="shared" si="140"/>
        <v>0.52</v>
      </c>
      <c r="K226" s="73">
        <f>'LABOR SHEET'!C$3</f>
        <v>46.5</v>
      </c>
      <c r="L226" s="74">
        <f t="shared" si="141"/>
        <v>12.09</v>
      </c>
      <c r="M226" s="74">
        <f t="shared" si="142"/>
        <v>24.18</v>
      </c>
      <c r="N226" s="74">
        <v>60</v>
      </c>
      <c r="O226" s="74">
        <f t="shared" si="143"/>
        <v>120</v>
      </c>
      <c r="P226" s="74">
        <f t="shared" si="144"/>
        <v>72.09</v>
      </c>
      <c r="Q226" s="58">
        <f t="shared" si="145"/>
        <v>144.18</v>
      </c>
      <c r="R226" s="106"/>
      <c r="S226" s="106"/>
      <c r="T226" s="106"/>
      <c r="U226" s="106"/>
      <c r="V226" s="106"/>
      <c r="W226" s="106"/>
      <c r="X226" s="106"/>
      <c r="Y226" s="106"/>
      <c r="Z226" s="106"/>
      <c r="AA226" s="106"/>
      <c r="AB226" s="106"/>
      <c r="AC226" s="106"/>
      <c r="AD226" s="106"/>
      <c r="AE226" s="106"/>
      <c r="AF226" s="106"/>
      <c r="AG226" s="106"/>
      <c r="AH226" s="106"/>
      <c r="AI226" s="106"/>
      <c r="AJ226" s="106"/>
    </row>
    <row r="227" spans="1:36" s="99" customFormat="1">
      <c r="A227" s="77">
        <f>IF(F227&lt;&gt;"",1+MAX($A$2:A226),"")</f>
        <v>194</v>
      </c>
      <c r="B227" s="56"/>
      <c r="C227" s="107"/>
      <c r="D227" s="57" t="s">
        <v>235</v>
      </c>
      <c r="E227" s="81">
        <v>10</v>
      </c>
      <c r="F227" s="108">
        <v>0</v>
      </c>
      <c r="G227" s="109">
        <f t="shared" si="146"/>
        <v>10</v>
      </c>
      <c r="H227" s="79" t="s">
        <v>43</v>
      </c>
      <c r="I227" s="71">
        <v>0.28000000000000003</v>
      </c>
      <c r="J227" s="72">
        <f t="shared" si="140"/>
        <v>2.8000000000000003</v>
      </c>
      <c r="K227" s="73">
        <f>'LABOR SHEET'!C$3</f>
        <v>46.5</v>
      </c>
      <c r="L227" s="74">
        <f t="shared" si="141"/>
        <v>13.020000000000001</v>
      </c>
      <c r="M227" s="74">
        <f t="shared" si="142"/>
        <v>130.20000000000002</v>
      </c>
      <c r="N227" s="74">
        <v>70</v>
      </c>
      <c r="O227" s="74">
        <f t="shared" si="143"/>
        <v>700</v>
      </c>
      <c r="P227" s="74">
        <f t="shared" si="144"/>
        <v>83.02</v>
      </c>
      <c r="Q227" s="58">
        <f t="shared" si="145"/>
        <v>830.19999999999993</v>
      </c>
      <c r="R227" s="106"/>
      <c r="S227" s="106"/>
      <c r="T227" s="106"/>
      <c r="U227" s="106"/>
      <c r="V227" s="106"/>
      <c r="W227" s="106"/>
      <c r="X227" s="106"/>
      <c r="Y227" s="106"/>
      <c r="Z227" s="106"/>
      <c r="AA227" s="106"/>
      <c r="AB227" s="106"/>
      <c r="AC227" s="106"/>
      <c r="AD227" s="106"/>
      <c r="AE227" s="106"/>
      <c r="AF227" s="106"/>
      <c r="AG227" s="106"/>
      <c r="AH227" s="106"/>
      <c r="AI227" s="106"/>
      <c r="AJ227" s="106"/>
    </row>
    <row r="228" spans="1:36" s="99" customFormat="1">
      <c r="A228" s="65">
        <f>IF(F228&lt;&gt;"",1+MAX($A$2:A227),"")</f>
        <v>195</v>
      </c>
      <c r="B228" s="56"/>
      <c r="C228" s="107"/>
      <c r="D228" s="57" t="s">
        <v>236</v>
      </c>
      <c r="E228" s="81">
        <v>1</v>
      </c>
      <c r="F228" s="108">
        <v>0</v>
      </c>
      <c r="G228" s="109">
        <f t="shared" si="146"/>
        <v>1</v>
      </c>
      <c r="H228" s="79" t="s">
        <v>43</v>
      </c>
      <c r="I228" s="71">
        <v>0.3</v>
      </c>
      <c r="J228" s="72">
        <f t="shared" si="140"/>
        <v>0.3</v>
      </c>
      <c r="K228" s="73">
        <f>'LABOR SHEET'!C$3</f>
        <v>46.5</v>
      </c>
      <c r="L228" s="74">
        <f t="shared" si="141"/>
        <v>13.95</v>
      </c>
      <c r="M228" s="74">
        <f t="shared" si="142"/>
        <v>13.95</v>
      </c>
      <c r="N228" s="74">
        <v>20</v>
      </c>
      <c r="O228" s="74">
        <f t="shared" si="143"/>
        <v>20</v>
      </c>
      <c r="P228" s="74">
        <f t="shared" si="144"/>
        <v>33.950000000000003</v>
      </c>
      <c r="Q228" s="58">
        <f t="shared" si="145"/>
        <v>33.950000000000003</v>
      </c>
      <c r="R228" s="106"/>
      <c r="S228" s="106"/>
      <c r="T228" s="106"/>
      <c r="U228" s="106"/>
      <c r="V228" s="106"/>
      <c r="W228" s="106"/>
      <c r="X228" s="106"/>
      <c r="Y228" s="106"/>
      <c r="Z228" s="106"/>
      <c r="AA228" s="106"/>
      <c r="AB228" s="106"/>
      <c r="AC228" s="106"/>
      <c r="AD228" s="106"/>
      <c r="AE228" s="106"/>
      <c r="AF228" s="106"/>
      <c r="AG228" s="106"/>
      <c r="AH228" s="106"/>
      <c r="AI228" s="106"/>
      <c r="AJ228" s="106"/>
    </row>
    <row r="229" spans="1:36" s="99" customFormat="1">
      <c r="A229" s="77">
        <f>IF(F229&lt;&gt;"",1+MAX($A$2:A228),"")</f>
        <v>196</v>
      </c>
      <c r="B229" s="56"/>
      <c r="C229" s="107"/>
      <c r="D229" s="57" t="s">
        <v>237</v>
      </c>
      <c r="E229" s="81">
        <v>2</v>
      </c>
      <c r="F229" s="108">
        <v>0</v>
      </c>
      <c r="G229" s="109">
        <f t="shared" si="146"/>
        <v>2</v>
      </c>
      <c r="H229" s="79" t="s">
        <v>43</v>
      </c>
      <c r="I229" s="71">
        <v>0.2</v>
      </c>
      <c r="J229" s="72">
        <f t="shared" si="140"/>
        <v>0.4</v>
      </c>
      <c r="K229" s="73">
        <f>'LABOR SHEET'!C$3</f>
        <v>46.5</v>
      </c>
      <c r="L229" s="74">
        <f t="shared" si="141"/>
        <v>9.3000000000000007</v>
      </c>
      <c r="M229" s="74">
        <f t="shared" si="142"/>
        <v>18.600000000000001</v>
      </c>
      <c r="N229" s="74">
        <v>30</v>
      </c>
      <c r="O229" s="74">
        <f t="shared" si="143"/>
        <v>60</v>
      </c>
      <c r="P229" s="74">
        <f t="shared" si="144"/>
        <v>39.299999999999997</v>
      </c>
      <c r="Q229" s="58">
        <f t="shared" si="145"/>
        <v>78.599999999999994</v>
      </c>
      <c r="R229" s="106"/>
      <c r="S229" s="106"/>
      <c r="T229" s="106"/>
      <c r="U229" s="106"/>
      <c r="V229" s="106"/>
      <c r="W229" s="106"/>
      <c r="X229" s="106"/>
      <c r="Y229" s="106"/>
      <c r="Z229" s="106"/>
      <c r="AA229" s="106"/>
      <c r="AB229" s="106"/>
      <c r="AC229" s="106"/>
      <c r="AD229" s="106"/>
      <c r="AE229" s="106"/>
      <c r="AF229" s="106"/>
      <c r="AG229" s="106"/>
      <c r="AH229" s="106"/>
      <c r="AI229" s="106"/>
      <c r="AJ229" s="106"/>
    </row>
    <row r="230" spans="1:36" s="99" customFormat="1">
      <c r="A230" s="65">
        <f>IF(F230&lt;&gt;"",1+MAX($A$2:A229),"")</f>
        <v>197</v>
      </c>
      <c r="B230" s="56"/>
      <c r="C230" s="107"/>
      <c r="D230" s="57" t="s">
        <v>238</v>
      </c>
      <c r="E230" s="81">
        <v>1</v>
      </c>
      <c r="F230" s="108">
        <v>0</v>
      </c>
      <c r="G230" s="109">
        <f t="shared" si="146"/>
        <v>1</v>
      </c>
      <c r="H230" s="79" t="s">
        <v>43</v>
      </c>
      <c r="I230" s="71">
        <v>0.25</v>
      </c>
      <c r="J230" s="72">
        <f t="shared" si="140"/>
        <v>0.25</v>
      </c>
      <c r="K230" s="73">
        <f>'LABOR SHEET'!C$3</f>
        <v>46.5</v>
      </c>
      <c r="L230" s="74">
        <f t="shared" si="141"/>
        <v>11.625</v>
      </c>
      <c r="M230" s="74">
        <f t="shared" si="142"/>
        <v>11.625</v>
      </c>
      <c r="N230" s="74">
        <v>40</v>
      </c>
      <c r="O230" s="74">
        <f t="shared" si="143"/>
        <v>40</v>
      </c>
      <c r="P230" s="74">
        <f t="shared" si="144"/>
        <v>51.625</v>
      </c>
      <c r="Q230" s="58">
        <f t="shared" si="145"/>
        <v>51.625</v>
      </c>
      <c r="R230" s="106"/>
      <c r="S230" s="106"/>
      <c r="T230" s="106"/>
      <c r="U230" s="106"/>
      <c r="V230" s="106"/>
      <c r="W230" s="106"/>
      <c r="X230" s="106"/>
      <c r="Y230" s="106"/>
      <c r="Z230" s="106"/>
      <c r="AA230" s="106"/>
      <c r="AB230" s="106"/>
      <c r="AC230" s="106"/>
      <c r="AD230" s="106"/>
      <c r="AE230" s="106"/>
      <c r="AF230" s="106"/>
      <c r="AG230" s="106"/>
      <c r="AH230" s="106"/>
      <c r="AI230" s="106"/>
      <c r="AJ230" s="106"/>
    </row>
    <row r="231" spans="1:36" s="99" customFormat="1">
      <c r="A231" s="77">
        <f>IF(F231&lt;&gt;"",1+MAX($A$2:A230),"")</f>
        <v>198</v>
      </c>
      <c r="B231" s="56"/>
      <c r="C231" s="107"/>
      <c r="D231" s="57" t="s">
        <v>239</v>
      </c>
      <c r="E231" s="81">
        <v>6</v>
      </c>
      <c r="F231" s="108">
        <v>0</v>
      </c>
      <c r="G231" s="109">
        <f t="shared" si="146"/>
        <v>6</v>
      </c>
      <c r="H231" s="79" t="s">
        <v>43</v>
      </c>
      <c r="I231" s="71">
        <v>0.26</v>
      </c>
      <c r="J231" s="72">
        <f t="shared" si="140"/>
        <v>1.56</v>
      </c>
      <c r="K231" s="73">
        <f>'LABOR SHEET'!C$3</f>
        <v>46.5</v>
      </c>
      <c r="L231" s="74">
        <f t="shared" si="141"/>
        <v>12.09</v>
      </c>
      <c r="M231" s="74">
        <f t="shared" si="142"/>
        <v>72.540000000000006</v>
      </c>
      <c r="N231" s="74">
        <v>40</v>
      </c>
      <c r="O231" s="74">
        <f t="shared" si="143"/>
        <v>240</v>
      </c>
      <c r="P231" s="74">
        <f t="shared" si="144"/>
        <v>52.09</v>
      </c>
      <c r="Q231" s="58">
        <f t="shared" si="145"/>
        <v>312.54000000000002</v>
      </c>
      <c r="R231" s="106"/>
      <c r="S231" s="106"/>
      <c r="T231" s="106"/>
      <c r="U231" s="106"/>
      <c r="V231" s="106"/>
      <c r="W231" s="106"/>
      <c r="X231" s="106"/>
      <c r="Y231" s="106"/>
      <c r="Z231" s="106"/>
      <c r="AA231" s="106"/>
      <c r="AB231" s="106"/>
      <c r="AC231" s="106"/>
      <c r="AD231" s="106"/>
      <c r="AE231" s="106"/>
      <c r="AF231" s="106"/>
      <c r="AG231" s="106"/>
      <c r="AH231" s="106"/>
      <c r="AI231" s="106"/>
      <c r="AJ231" s="106"/>
    </row>
    <row r="232" spans="1:36" s="99" customFormat="1">
      <c r="A232" s="65">
        <f>IF(F232&lt;&gt;"",1+MAX($A$2:A231),"")</f>
        <v>199</v>
      </c>
      <c r="B232" s="56"/>
      <c r="C232" s="107"/>
      <c r="D232" s="57" t="s">
        <v>240</v>
      </c>
      <c r="E232" s="81">
        <v>2</v>
      </c>
      <c r="F232" s="108">
        <v>0</v>
      </c>
      <c r="G232" s="109">
        <f t="shared" si="146"/>
        <v>2</v>
      </c>
      <c r="H232" s="79" t="s">
        <v>43</v>
      </c>
      <c r="I232" s="71">
        <v>0.28000000000000003</v>
      </c>
      <c r="J232" s="72">
        <f t="shared" si="140"/>
        <v>0.56000000000000005</v>
      </c>
      <c r="K232" s="73">
        <f>'LABOR SHEET'!C$3</f>
        <v>46.5</v>
      </c>
      <c r="L232" s="74">
        <f t="shared" si="141"/>
        <v>13.020000000000001</v>
      </c>
      <c r="M232" s="74">
        <f t="shared" si="142"/>
        <v>26.040000000000003</v>
      </c>
      <c r="N232" s="74">
        <v>50</v>
      </c>
      <c r="O232" s="74">
        <f t="shared" si="143"/>
        <v>100</v>
      </c>
      <c r="P232" s="74">
        <f t="shared" si="144"/>
        <v>63.02</v>
      </c>
      <c r="Q232" s="58">
        <f t="shared" si="145"/>
        <v>126.04</v>
      </c>
      <c r="R232" s="106"/>
      <c r="S232" s="106"/>
      <c r="T232" s="106"/>
      <c r="U232" s="106"/>
      <c r="V232" s="106"/>
      <c r="W232" s="106"/>
      <c r="X232" s="106"/>
      <c r="Y232" s="106"/>
      <c r="Z232" s="106"/>
      <c r="AA232" s="106"/>
      <c r="AB232" s="106"/>
      <c r="AC232" s="106"/>
      <c r="AD232" s="106"/>
      <c r="AE232" s="106"/>
      <c r="AF232" s="106"/>
      <c r="AG232" s="106"/>
      <c r="AH232" s="106"/>
      <c r="AI232" s="106"/>
      <c r="AJ232" s="106"/>
    </row>
    <row r="233" spans="1:36" s="99" customFormat="1">
      <c r="A233" s="77">
        <f>IF(F233&lt;&gt;"",1+MAX($A$2:A232),"")</f>
        <v>200</v>
      </c>
      <c r="B233" s="56"/>
      <c r="C233" s="107"/>
      <c r="D233" s="57" t="s">
        <v>241</v>
      </c>
      <c r="E233" s="81">
        <v>2</v>
      </c>
      <c r="F233" s="108">
        <v>0</v>
      </c>
      <c r="G233" s="109">
        <f t="shared" si="146"/>
        <v>2</v>
      </c>
      <c r="H233" s="79" t="s">
        <v>43</v>
      </c>
      <c r="I233" s="71">
        <v>0.28000000000000003</v>
      </c>
      <c r="J233" s="72">
        <f t="shared" si="140"/>
        <v>0.56000000000000005</v>
      </c>
      <c r="K233" s="73">
        <f>'LABOR SHEET'!C$3</f>
        <v>46.5</v>
      </c>
      <c r="L233" s="74">
        <f t="shared" si="141"/>
        <v>13.020000000000001</v>
      </c>
      <c r="M233" s="74">
        <f t="shared" si="142"/>
        <v>26.040000000000003</v>
      </c>
      <c r="N233" s="74">
        <v>60</v>
      </c>
      <c r="O233" s="74">
        <f t="shared" si="143"/>
        <v>120</v>
      </c>
      <c r="P233" s="74">
        <f t="shared" si="144"/>
        <v>73.02</v>
      </c>
      <c r="Q233" s="58">
        <f t="shared" si="145"/>
        <v>146.04</v>
      </c>
      <c r="R233" s="106"/>
      <c r="S233" s="106"/>
      <c r="T233" s="106"/>
      <c r="U233" s="106"/>
      <c r="V233" s="106"/>
      <c r="W233" s="106"/>
      <c r="X233" s="106"/>
      <c r="Y233" s="106"/>
      <c r="Z233" s="106"/>
      <c r="AA233" s="106"/>
      <c r="AB233" s="106"/>
      <c r="AC233" s="106"/>
      <c r="AD233" s="106"/>
      <c r="AE233" s="106"/>
      <c r="AF233" s="106"/>
      <c r="AG233" s="106"/>
      <c r="AH233" s="106"/>
      <c r="AI233" s="106"/>
      <c r="AJ233" s="106"/>
    </row>
    <row r="234" spans="1:36" s="99" customFormat="1">
      <c r="A234" s="65">
        <f>IF(F234&lt;&gt;"",1+MAX($A$2:A233),"")</f>
        <v>201</v>
      </c>
      <c r="B234" s="56"/>
      <c r="C234" s="107"/>
      <c r="D234" s="57" t="s">
        <v>373</v>
      </c>
      <c r="E234" s="81">
        <v>2</v>
      </c>
      <c r="F234" s="108">
        <v>0</v>
      </c>
      <c r="G234" s="109">
        <f t="shared" si="146"/>
        <v>2</v>
      </c>
      <c r="H234" s="79" t="s">
        <v>43</v>
      </c>
      <c r="I234" s="71">
        <v>0.3</v>
      </c>
      <c r="J234" s="72">
        <f t="shared" si="140"/>
        <v>0.6</v>
      </c>
      <c r="K234" s="73">
        <f>'LABOR SHEET'!C$3</f>
        <v>46.5</v>
      </c>
      <c r="L234" s="74">
        <f t="shared" si="141"/>
        <v>13.95</v>
      </c>
      <c r="M234" s="74">
        <f t="shared" si="142"/>
        <v>27.9</v>
      </c>
      <c r="N234" s="74">
        <v>60</v>
      </c>
      <c r="O234" s="74">
        <f t="shared" si="143"/>
        <v>120</v>
      </c>
      <c r="P234" s="74">
        <f t="shared" si="144"/>
        <v>73.95</v>
      </c>
      <c r="Q234" s="58">
        <f t="shared" si="145"/>
        <v>147.9</v>
      </c>
      <c r="R234" s="106"/>
      <c r="S234" s="106"/>
      <c r="T234" s="106"/>
      <c r="U234" s="106"/>
      <c r="V234" s="106"/>
      <c r="W234" s="106"/>
      <c r="X234" s="106"/>
      <c r="Y234" s="106"/>
      <c r="Z234" s="106"/>
      <c r="AA234" s="106"/>
      <c r="AB234" s="106"/>
      <c r="AC234" s="106"/>
      <c r="AD234" s="106"/>
      <c r="AE234" s="106"/>
      <c r="AF234" s="106"/>
      <c r="AG234" s="106"/>
      <c r="AH234" s="106"/>
      <c r="AI234" s="106"/>
      <c r="AJ234" s="106"/>
    </row>
    <row r="235" spans="1:36" s="99" customFormat="1">
      <c r="A235" s="77">
        <f>IF(F235&lt;&gt;"",1+MAX($A$2:A234),"")</f>
        <v>202</v>
      </c>
      <c r="B235" s="56"/>
      <c r="C235" s="107"/>
      <c r="D235" s="57" t="s">
        <v>242</v>
      </c>
      <c r="E235" s="81">
        <v>2</v>
      </c>
      <c r="F235" s="108">
        <v>0</v>
      </c>
      <c r="G235" s="109">
        <f t="shared" ref="G235:G247" si="147">E235*(1+F235)</f>
        <v>2</v>
      </c>
      <c r="H235" s="79" t="s">
        <v>43</v>
      </c>
      <c r="I235" s="71">
        <v>0.3</v>
      </c>
      <c r="J235" s="72">
        <f t="shared" si="140"/>
        <v>0.6</v>
      </c>
      <c r="K235" s="73">
        <f>'LABOR SHEET'!C$3</f>
        <v>46.5</v>
      </c>
      <c r="L235" s="74">
        <f t="shared" si="141"/>
        <v>13.95</v>
      </c>
      <c r="M235" s="74">
        <f t="shared" si="142"/>
        <v>27.9</v>
      </c>
      <c r="N235" s="74">
        <v>70</v>
      </c>
      <c r="O235" s="74">
        <f t="shared" si="143"/>
        <v>140</v>
      </c>
      <c r="P235" s="74">
        <f t="shared" si="144"/>
        <v>83.95</v>
      </c>
      <c r="Q235" s="58">
        <f t="shared" si="145"/>
        <v>167.9</v>
      </c>
      <c r="R235" s="106"/>
      <c r="S235" s="106"/>
      <c r="T235" s="106"/>
      <c r="U235" s="106"/>
      <c r="V235" s="106"/>
      <c r="W235" s="106"/>
      <c r="X235" s="106"/>
      <c r="Y235" s="106"/>
      <c r="Z235" s="106"/>
      <c r="AA235" s="106"/>
      <c r="AB235" s="106"/>
      <c r="AC235" s="106"/>
      <c r="AD235" s="106"/>
      <c r="AE235" s="106"/>
      <c r="AF235" s="106"/>
      <c r="AG235" s="106"/>
      <c r="AH235" s="106"/>
      <c r="AI235" s="106"/>
      <c r="AJ235" s="106"/>
    </row>
    <row r="236" spans="1:36" s="99" customFormat="1">
      <c r="A236" s="65">
        <f>IF(F236&lt;&gt;"",1+MAX($A$2:A235),"")</f>
        <v>203</v>
      </c>
      <c r="B236" s="56"/>
      <c r="C236" s="107"/>
      <c r="D236" s="57" t="s">
        <v>243</v>
      </c>
      <c r="E236" s="81">
        <v>1</v>
      </c>
      <c r="F236" s="108">
        <v>0</v>
      </c>
      <c r="G236" s="109">
        <f t="shared" si="147"/>
        <v>1</v>
      </c>
      <c r="H236" s="79" t="s">
        <v>43</v>
      </c>
      <c r="I236" s="71">
        <v>0.32</v>
      </c>
      <c r="J236" s="72">
        <f t="shared" si="140"/>
        <v>0.32</v>
      </c>
      <c r="K236" s="73">
        <f>'LABOR SHEET'!C$3</f>
        <v>46.5</v>
      </c>
      <c r="L236" s="74">
        <f t="shared" si="141"/>
        <v>14.88</v>
      </c>
      <c r="M236" s="74">
        <f t="shared" si="142"/>
        <v>14.88</v>
      </c>
      <c r="N236" s="74">
        <v>80</v>
      </c>
      <c r="O236" s="74">
        <f t="shared" si="143"/>
        <v>80</v>
      </c>
      <c r="P236" s="74">
        <f t="shared" si="144"/>
        <v>94.88</v>
      </c>
      <c r="Q236" s="58">
        <f t="shared" si="145"/>
        <v>94.88</v>
      </c>
      <c r="R236" s="106"/>
      <c r="S236" s="106"/>
      <c r="T236" s="106"/>
      <c r="U236" s="106"/>
      <c r="V236" s="106"/>
      <c r="W236" s="106"/>
      <c r="X236" s="106"/>
      <c r="Y236" s="106"/>
      <c r="Z236" s="106"/>
      <c r="AA236" s="106"/>
      <c r="AB236" s="106"/>
      <c r="AC236" s="106"/>
      <c r="AD236" s="106"/>
      <c r="AE236" s="106"/>
      <c r="AF236" s="106"/>
      <c r="AG236" s="106"/>
      <c r="AH236" s="106"/>
      <c r="AI236" s="106"/>
      <c r="AJ236" s="106"/>
    </row>
    <row r="237" spans="1:36" s="99" customFormat="1">
      <c r="A237" s="77">
        <f>IF(F237&lt;&gt;"",1+MAX($A$2:A236),"")</f>
        <v>204</v>
      </c>
      <c r="B237" s="56"/>
      <c r="C237" s="107"/>
      <c r="D237" s="57" t="s">
        <v>244</v>
      </c>
      <c r="E237" s="81">
        <v>1</v>
      </c>
      <c r="F237" s="108">
        <v>0</v>
      </c>
      <c r="G237" s="109">
        <f t="shared" si="147"/>
        <v>1</v>
      </c>
      <c r="H237" s="79" t="s">
        <v>43</v>
      </c>
      <c r="I237" s="71">
        <v>0.33</v>
      </c>
      <c r="J237" s="72">
        <f t="shared" si="140"/>
        <v>0.33</v>
      </c>
      <c r="K237" s="73">
        <f>'LABOR SHEET'!C$3</f>
        <v>46.5</v>
      </c>
      <c r="L237" s="74">
        <f t="shared" si="141"/>
        <v>15.345000000000001</v>
      </c>
      <c r="M237" s="74">
        <f t="shared" si="142"/>
        <v>15.345000000000001</v>
      </c>
      <c r="N237" s="74">
        <v>100</v>
      </c>
      <c r="O237" s="74">
        <f t="shared" si="143"/>
        <v>100</v>
      </c>
      <c r="P237" s="74">
        <f t="shared" si="144"/>
        <v>115.345</v>
      </c>
      <c r="Q237" s="58">
        <f t="shared" si="145"/>
        <v>115.345</v>
      </c>
      <c r="R237" s="106"/>
      <c r="S237" s="106"/>
      <c r="T237" s="106"/>
      <c r="U237" s="106"/>
      <c r="V237" s="106"/>
      <c r="W237" s="106"/>
      <c r="X237" s="106"/>
      <c r="Y237" s="106"/>
      <c r="Z237" s="106"/>
      <c r="AA237" s="106"/>
      <c r="AB237" s="106"/>
      <c r="AC237" s="106"/>
      <c r="AD237" s="106"/>
      <c r="AE237" s="106"/>
      <c r="AF237" s="106"/>
      <c r="AG237" s="106"/>
      <c r="AH237" s="106"/>
      <c r="AI237" s="106"/>
      <c r="AJ237" s="106"/>
    </row>
    <row r="238" spans="1:36" s="99" customFormat="1">
      <c r="A238" s="65">
        <f>IF(F238&lt;&gt;"",1+MAX($A$2:A237),"")</f>
        <v>205</v>
      </c>
      <c r="B238" s="56"/>
      <c r="C238" s="107"/>
      <c r="D238" s="57" t="s">
        <v>245</v>
      </c>
      <c r="E238" s="81">
        <v>7</v>
      </c>
      <c r="F238" s="108">
        <v>0</v>
      </c>
      <c r="G238" s="109">
        <f t="shared" si="147"/>
        <v>7</v>
      </c>
      <c r="H238" s="79" t="s">
        <v>43</v>
      </c>
      <c r="I238" s="71">
        <v>0.4</v>
      </c>
      <c r="J238" s="72">
        <f t="shared" si="140"/>
        <v>2.8000000000000003</v>
      </c>
      <c r="K238" s="73">
        <f>'LABOR SHEET'!C$3</f>
        <v>46.5</v>
      </c>
      <c r="L238" s="74">
        <f t="shared" si="141"/>
        <v>18.600000000000001</v>
      </c>
      <c r="M238" s="74">
        <f t="shared" si="142"/>
        <v>130.20000000000002</v>
      </c>
      <c r="N238" s="74">
        <v>40</v>
      </c>
      <c r="O238" s="74">
        <f t="shared" si="143"/>
        <v>280</v>
      </c>
      <c r="P238" s="74">
        <f t="shared" si="144"/>
        <v>58.6</v>
      </c>
      <c r="Q238" s="58">
        <f t="shared" si="145"/>
        <v>410.2</v>
      </c>
      <c r="R238" s="106"/>
      <c r="S238" s="106"/>
      <c r="T238" s="106"/>
      <c r="U238" s="106"/>
      <c r="V238" s="106"/>
      <c r="W238" s="106"/>
      <c r="X238" s="106"/>
      <c r="Y238" s="106"/>
      <c r="Z238" s="106"/>
      <c r="AA238" s="106"/>
      <c r="AB238" s="106"/>
      <c r="AC238" s="106"/>
      <c r="AD238" s="106"/>
      <c r="AE238" s="106"/>
      <c r="AF238" s="106"/>
      <c r="AG238" s="106"/>
      <c r="AH238" s="106"/>
      <c r="AI238" s="106"/>
      <c r="AJ238" s="106"/>
    </row>
    <row r="239" spans="1:36" s="99" customFormat="1">
      <c r="A239" s="77">
        <f>IF(F239&lt;&gt;"",1+MAX($A$2:A238),"")</f>
        <v>206</v>
      </c>
      <c r="B239" s="56"/>
      <c r="C239" s="107"/>
      <c r="D239" s="57" t="s">
        <v>246</v>
      </c>
      <c r="E239" s="81">
        <v>2</v>
      </c>
      <c r="F239" s="108">
        <v>0</v>
      </c>
      <c r="G239" s="109">
        <f t="shared" si="147"/>
        <v>2</v>
      </c>
      <c r="H239" s="79" t="s">
        <v>43</v>
      </c>
      <c r="I239" s="71">
        <v>0.42</v>
      </c>
      <c r="J239" s="72">
        <f t="shared" si="140"/>
        <v>0.84</v>
      </c>
      <c r="K239" s="73">
        <f>'LABOR SHEET'!C$3</f>
        <v>46.5</v>
      </c>
      <c r="L239" s="74">
        <f t="shared" si="141"/>
        <v>19.529999999999998</v>
      </c>
      <c r="M239" s="74">
        <f t="shared" si="142"/>
        <v>39.059999999999995</v>
      </c>
      <c r="N239" s="74">
        <v>50</v>
      </c>
      <c r="O239" s="74">
        <f t="shared" si="143"/>
        <v>100</v>
      </c>
      <c r="P239" s="74">
        <f t="shared" si="144"/>
        <v>69.53</v>
      </c>
      <c r="Q239" s="58">
        <f t="shared" si="145"/>
        <v>139.06</v>
      </c>
      <c r="R239" s="106"/>
      <c r="S239" s="106"/>
      <c r="T239" s="106"/>
      <c r="U239" s="106"/>
      <c r="V239" s="106"/>
      <c r="W239" s="106"/>
      <c r="X239" s="106"/>
      <c r="Y239" s="106"/>
      <c r="Z239" s="106"/>
      <c r="AA239" s="106"/>
      <c r="AB239" s="106"/>
      <c r="AC239" s="106"/>
      <c r="AD239" s="106"/>
      <c r="AE239" s="106"/>
      <c r="AF239" s="106"/>
      <c r="AG239" s="106"/>
      <c r="AH239" s="106"/>
      <c r="AI239" s="106"/>
      <c r="AJ239" s="106"/>
    </row>
    <row r="240" spans="1:36" s="99" customFormat="1">
      <c r="A240" s="65">
        <f>IF(F240&lt;&gt;"",1+MAX($A$2:A239),"")</f>
        <v>207</v>
      </c>
      <c r="B240" s="56"/>
      <c r="C240" s="107"/>
      <c r="D240" s="57" t="s">
        <v>247</v>
      </c>
      <c r="E240" s="81">
        <v>3</v>
      </c>
      <c r="F240" s="108">
        <v>0</v>
      </c>
      <c r="G240" s="109">
        <f t="shared" si="147"/>
        <v>3</v>
      </c>
      <c r="H240" s="79" t="s">
        <v>43</v>
      </c>
      <c r="I240" s="71">
        <v>0.45</v>
      </c>
      <c r="J240" s="72">
        <f t="shared" si="140"/>
        <v>1.35</v>
      </c>
      <c r="K240" s="73">
        <f>'LABOR SHEET'!C$3</f>
        <v>46.5</v>
      </c>
      <c r="L240" s="74">
        <f t="shared" si="141"/>
        <v>20.925000000000001</v>
      </c>
      <c r="M240" s="74">
        <f t="shared" si="142"/>
        <v>62.775000000000006</v>
      </c>
      <c r="N240" s="74">
        <v>60</v>
      </c>
      <c r="O240" s="74">
        <f t="shared" si="143"/>
        <v>180</v>
      </c>
      <c r="P240" s="74">
        <f t="shared" si="144"/>
        <v>80.924999999999997</v>
      </c>
      <c r="Q240" s="58">
        <f t="shared" si="145"/>
        <v>242.77499999999998</v>
      </c>
      <c r="R240" s="106"/>
      <c r="S240" s="106"/>
      <c r="T240" s="106"/>
      <c r="U240" s="106"/>
      <c r="V240" s="106"/>
      <c r="W240" s="106"/>
      <c r="X240" s="106"/>
      <c r="Y240" s="106"/>
      <c r="Z240" s="106"/>
      <c r="AA240" s="106"/>
      <c r="AB240" s="106"/>
      <c r="AC240" s="106"/>
      <c r="AD240" s="106"/>
      <c r="AE240" s="106"/>
      <c r="AF240" s="106"/>
      <c r="AG240" s="106"/>
      <c r="AH240" s="106"/>
      <c r="AI240" s="106"/>
      <c r="AJ240" s="106"/>
    </row>
    <row r="241" spans="1:36" s="99" customFormat="1">
      <c r="A241" s="77">
        <f>IF(F241&lt;&gt;"",1+MAX($A$2:A240),"")</f>
        <v>208</v>
      </c>
      <c r="B241" s="56"/>
      <c r="C241" s="107"/>
      <c r="D241" s="57" t="s">
        <v>248</v>
      </c>
      <c r="E241" s="81">
        <v>12</v>
      </c>
      <c r="F241" s="108">
        <v>0</v>
      </c>
      <c r="G241" s="109">
        <f t="shared" si="147"/>
        <v>12</v>
      </c>
      <c r="H241" s="79" t="s">
        <v>43</v>
      </c>
      <c r="I241" s="71">
        <v>0.48</v>
      </c>
      <c r="J241" s="72">
        <f t="shared" si="140"/>
        <v>5.76</v>
      </c>
      <c r="K241" s="73">
        <f>'LABOR SHEET'!C$3</f>
        <v>46.5</v>
      </c>
      <c r="L241" s="74">
        <f t="shared" si="141"/>
        <v>22.32</v>
      </c>
      <c r="M241" s="74">
        <f t="shared" si="142"/>
        <v>267.83999999999997</v>
      </c>
      <c r="N241" s="74">
        <v>70</v>
      </c>
      <c r="O241" s="74">
        <f t="shared" si="143"/>
        <v>840</v>
      </c>
      <c r="P241" s="74">
        <f t="shared" si="144"/>
        <v>92.32</v>
      </c>
      <c r="Q241" s="58">
        <f t="shared" si="145"/>
        <v>1107.8399999999999</v>
      </c>
      <c r="R241" s="106"/>
      <c r="S241" s="106"/>
      <c r="T241" s="106"/>
      <c r="U241" s="106"/>
      <c r="V241" s="106"/>
      <c r="W241" s="106"/>
      <c r="X241" s="106"/>
      <c r="Y241" s="106"/>
      <c r="Z241" s="106"/>
      <c r="AA241" s="106"/>
      <c r="AB241" s="106"/>
      <c r="AC241" s="106"/>
      <c r="AD241" s="106"/>
      <c r="AE241" s="106"/>
      <c r="AF241" s="106"/>
      <c r="AG241" s="106"/>
      <c r="AH241" s="106"/>
      <c r="AI241" s="106"/>
      <c r="AJ241" s="106"/>
    </row>
    <row r="242" spans="1:36" s="99" customFormat="1">
      <c r="A242" s="65">
        <f>IF(F242&lt;&gt;"",1+MAX($A$2:A241),"")</f>
        <v>209</v>
      </c>
      <c r="B242" s="56"/>
      <c r="C242" s="107"/>
      <c r="D242" s="57" t="s">
        <v>249</v>
      </c>
      <c r="E242" s="81">
        <v>5</v>
      </c>
      <c r="F242" s="108">
        <v>0</v>
      </c>
      <c r="G242" s="109">
        <f t="shared" si="147"/>
        <v>5</v>
      </c>
      <c r="H242" s="79" t="s">
        <v>43</v>
      </c>
      <c r="I242" s="71">
        <v>0.5</v>
      </c>
      <c r="J242" s="72">
        <f t="shared" si="140"/>
        <v>2.5</v>
      </c>
      <c r="K242" s="73">
        <f>'LABOR SHEET'!C$3</f>
        <v>46.5</v>
      </c>
      <c r="L242" s="74">
        <f t="shared" si="141"/>
        <v>23.25</v>
      </c>
      <c r="M242" s="74">
        <f t="shared" si="142"/>
        <v>116.25</v>
      </c>
      <c r="N242" s="74">
        <v>80</v>
      </c>
      <c r="O242" s="74">
        <f t="shared" si="143"/>
        <v>400</v>
      </c>
      <c r="P242" s="74">
        <f t="shared" si="144"/>
        <v>103.25</v>
      </c>
      <c r="Q242" s="58">
        <f t="shared" si="145"/>
        <v>516.25</v>
      </c>
      <c r="R242" s="106"/>
      <c r="S242" s="106"/>
      <c r="T242" s="106"/>
      <c r="U242" s="106"/>
      <c r="V242" s="106"/>
      <c r="W242" s="106"/>
      <c r="X242" s="106"/>
      <c r="Y242" s="106"/>
      <c r="Z242" s="106"/>
      <c r="AA242" s="106"/>
      <c r="AB242" s="106"/>
      <c r="AC242" s="106"/>
      <c r="AD242" s="106"/>
      <c r="AE242" s="106"/>
      <c r="AF242" s="106"/>
      <c r="AG242" s="106"/>
      <c r="AH242" s="106"/>
      <c r="AI242" s="106"/>
      <c r="AJ242" s="106"/>
    </row>
    <row r="243" spans="1:36" s="99" customFormat="1" ht="62.4">
      <c r="A243" s="77">
        <f>IF(F243&lt;&gt;"",1+MAX($A$2:A242),"")</f>
        <v>210</v>
      </c>
      <c r="B243" s="56"/>
      <c r="C243" s="107"/>
      <c r="D243" s="57" t="s">
        <v>250</v>
      </c>
      <c r="E243" s="81">
        <v>1</v>
      </c>
      <c r="F243" s="108">
        <v>0</v>
      </c>
      <c r="G243" s="109">
        <f t="shared" si="147"/>
        <v>1</v>
      </c>
      <c r="H243" s="79" t="s">
        <v>43</v>
      </c>
      <c r="I243" s="71">
        <v>1</v>
      </c>
      <c r="J243" s="72">
        <f t="shared" si="140"/>
        <v>1</v>
      </c>
      <c r="K243" s="73">
        <f>'LABOR SHEET'!C$3</f>
        <v>46.5</v>
      </c>
      <c r="L243" s="74">
        <f t="shared" si="141"/>
        <v>46.5</v>
      </c>
      <c r="M243" s="74">
        <f t="shared" si="142"/>
        <v>46.5</v>
      </c>
      <c r="N243" s="74">
        <v>160</v>
      </c>
      <c r="O243" s="74">
        <f t="shared" si="143"/>
        <v>160</v>
      </c>
      <c r="P243" s="74">
        <f t="shared" si="144"/>
        <v>206.5</v>
      </c>
      <c r="Q243" s="58">
        <f t="shared" si="145"/>
        <v>206.5</v>
      </c>
      <c r="R243" s="106"/>
      <c r="S243" s="106"/>
      <c r="T243" s="106"/>
      <c r="U243" s="106"/>
      <c r="V243" s="106"/>
      <c r="W243" s="106"/>
      <c r="X243" s="106"/>
      <c r="Y243" s="106"/>
      <c r="Z243" s="106"/>
      <c r="AA243" s="106"/>
      <c r="AB243" s="106"/>
      <c r="AC243" s="106"/>
      <c r="AD243" s="106"/>
      <c r="AE243" s="106"/>
      <c r="AF243" s="106"/>
      <c r="AG243" s="106"/>
      <c r="AH243" s="106"/>
      <c r="AI243" s="106"/>
      <c r="AJ243" s="106"/>
    </row>
    <row r="244" spans="1:36" s="99" customFormat="1" ht="62.4">
      <c r="A244" s="65">
        <f>IF(F244&lt;&gt;"",1+MAX($A$2:A243),"")</f>
        <v>211</v>
      </c>
      <c r="B244" s="56"/>
      <c r="C244" s="107"/>
      <c r="D244" s="57" t="s">
        <v>251</v>
      </c>
      <c r="E244" s="81">
        <v>1</v>
      </c>
      <c r="F244" s="108">
        <v>0</v>
      </c>
      <c r="G244" s="109">
        <f t="shared" si="147"/>
        <v>1</v>
      </c>
      <c r="H244" s="79" t="s">
        <v>43</v>
      </c>
      <c r="I244" s="71">
        <v>1.25</v>
      </c>
      <c r="J244" s="72">
        <f t="shared" si="140"/>
        <v>1.25</v>
      </c>
      <c r="K244" s="73">
        <f>'LABOR SHEET'!C$3</f>
        <v>46.5</v>
      </c>
      <c r="L244" s="74">
        <f t="shared" si="141"/>
        <v>58.125</v>
      </c>
      <c r="M244" s="74">
        <f t="shared" si="142"/>
        <v>58.125</v>
      </c>
      <c r="N244" s="74">
        <v>186</v>
      </c>
      <c r="O244" s="74">
        <f t="shared" si="143"/>
        <v>186</v>
      </c>
      <c r="P244" s="74">
        <f t="shared" si="144"/>
        <v>244.125</v>
      </c>
      <c r="Q244" s="58">
        <f t="shared" si="145"/>
        <v>244.125</v>
      </c>
      <c r="R244" s="106"/>
      <c r="S244" s="106"/>
      <c r="T244" s="106"/>
      <c r="U244" s="106"/>
      <c r="V244" s="106"/>
      <c r="W244" s="106"/>
      <c r="X244" s="106"/>
      <c r="Y244" s="106"/>
      <c r="Z244" s="106"/>
      <c r="AA244" s="106"/>
      <c r="AB244" s="106"/>
      <c r="AC244" s="106"/>
      <c r="AD244" s="106"/>
      <c r="AE244" s="106"/>
      <c r="AF244" s="106"/>
      <c r="AG244" s="106"/>
      <c r="AH244" s="106"/>
      <c r="AI244" s="106"/>
      <c r="AJ244" s="106"/>
    </row>
    <row r="245" spans="1:36" s="99" customFormat="1" ht="62.4">
      <c r="A245" s="77">
        <f>IF(F245&lt;&gt;"",1+MAX($A$2:A244),"")</f>
        <v>212</v>
      </c>
      <c r="B245" s="56"/>
      <c r="C245" s="107"/>
      <c r="D245" s="57" t="s">
        <v>252</v>
      </c>
      <c r="E245" s="81">
        <v>1</v>
      </c>
      <c r="F245" s="108">
        <v>0</v>
      </c>
      <c r="G245" s="109">
        <f t="shared" si="147"/>
        <v>1</v>
      </c>
      <c r="H245" s="79" t="s">
        <v>43</v>
      </c>
      <c r="I245" s="71">
        <v>1.4</v>
      </c>
      <c r="J245" s="72">
        <f t="shared" si="140"/>
        <v>1.4</v>
      </c>
      <c r="K245" s="73">
        <f>'LABOR SHEET'!C$3</f>
        <v>46.5</v>
      </c>
      <c r="L245" s="74">
        <f t="shared" si="141"/>
        <v>65.099999999999994</v>
      </c>
      <c r="M245" s="74">
        <f t="shared" si="142"/>
        <v>65.099999999999994</v>
      </c>
      <c r="N245" s="74">
        <v>223</v>
      </c>
      <c r="O245" s="74">
        <f t="shared" si="143"/>
        <v>223</v>
      </c>
      <c r="P245" s="74">
        <f t="shared" si="144"/>
        <v>288.10000000000002</v>
      </c>
      <c r="Q245" s="58">
        <f t="shared" si="145"/>
        <v>288.10000000000002</v>
      </c>
      <c r="R245" s="106"/>
      <c r="S245" s="106"/>
      <c r="T245" s="106"/>
      <c r="U245" s="106"/>
      <c r="V245" s="106"/>
      <c r="W245" s="106"/>
      <c r="X245" s="106"/>
      <c r="Y245" s="106"/>
      <c r="Z245" s="106"/>
      <c r="AA245" s="106"/>
      <c r="AB245" s="106"/>
      <c r="AC245" s="106"/>
      <c r="AD245" s="106"/>
      <c r="AE245" s="106"/>
      <c r="AF245" s="106"/>
      <c r="AG245" s="106"/>
      <c r="AH245" s="106"/>
      <c r="AI245" s="106"/>
      <c r="AJ245" s="106"/>
    </row>
    <row r="246" spans="1:36" s="99" customFormat="1" ht="62.4">
      <c r="A246" s="65">
        <f>IF(F246&lt;&gt;"",1+MAX($A$2:A245),"")</f>
        <v>213</v>
      </c>
      <c r="B246" s="56"/>
      <c r="C246" s="107"/>
      <c r="D246" s="57" t="s">
        <v>253</v>
      </c>
      <c r="E246" s="81">
        <v>2</v>
      </c>
      <c r="F246" s="108">
        <v>0</v>
      </c>
      <c r="G246" s="109">
        <f t="shared" si="147"/>
        <v>2</v>
      </c>
      <c r="H246" s="79" t="s">
        <v>43</v>
      </c>
      <c r="I246" s="71">
        <v>2.2000000000000002</v>
      </c>
      <c r="J246" s="72">
        <f t="shared" si="140"/>
        <v>4.4000000000000004</v>
      </c>
      <c r="K246" s="73">
        <f>'LABOR SHEET'!C$3</f>
        <v>46.5</v>
      </c>
      <c r="L246" s="74">
        <f t="shared" si="141"/>
        <v>102.30000000000001</v>
      </c>
      <c r="M246" s="74">
        <f t="shared" si="142"/>
        <v>204.60000000000002</v>
      </c>
      <c r="N246" s="74">
        <v>287</v>
      </c>
      <c r="O246" s="74">
        <f t="shared" si="143"/>
        <v>574</v>
      </c>
      <c r="P246" s="74">
        <f t="shared" si="144"/>
        <v>389.3</v>
      </c>
      <c r="Q246" s="58">
        <f t="shared" si="145"/>
        <v>778.6</v>
      </c>
      <c r="R246" s="106"/>
      <c r="S246" s="106"/>
      <c r="T246" s="106"/>
      <c r="U246" s="106"/>
      <c r="V246" s="106"/>
      <c r="W246" s="106"/>
      <c r="X246" s="106"/>
      <c r="Y246" s="106"/>
      <c r="Z246" s="106"/>
      <c r="AA246" s="106"/>
      <c r="AB246" s="106"/>
      <c r="AC246" s="106"/>
      <c r="AD246" s="106"/>
      <c r="AE246" s="106"/>
      <c r="AF246" s="106"/>
      <c r="AG246" s="106"/>
      <c r="AH246" s="106"/>
      <c r="AI246" s="106"/>
      <c r="AJ246" s="106"/>
    </row>
    <row r="247" spans="1:36" s="99" customFormat="1" ht="62.4">
      <c r="A247" s="77">
        <f>IF(F247&lt;&gt;"",1+MAX($A$2:A246),"")</f>
        <v>214</v>
      </c>
      <c r="B247" s="56"/>
      <c r="C247" s="107"/>
      <c r="D247" s="57" t="s">
        <v>254</v>
      </c>
      <c r="E247" s="81">
        <v>2</v>
      </c>
      <c r="F247" s="108">
        <v>0</v>
      </c>
      <c r="G247" s="109">
        <f t="shared" si="147"/>
        <v>2</v>
      </c>
      <c r="H247" s="79" t="s">
        <v>43</v>
      </c>
      <c r="I247" s="71">
        <v>2.2999999999999998</v>
      </c>
      <c r="J247" s="72">
        <f t="shared" si="140"/>
        <v>4.5999999999999996</v>
      </c>
      <c r="K247" s="73">
        <f>'LABOR SHEET'!C$3</f>
        <v>46.5</v>
      </c>
      <c r="L247" s="74">
        <f t="shared" si="141"/>
        <v>106.94999999999999</v>
      </c>
      <c r="M247" s="74">
        <f t="shared" si="142"/>
        <v>213.89999999999998</v>
      </c>
      <c r="N247" s="74">
        <v>310</v>
      </c>
      <c r="O247" s="74">
        <f t="shared" si="143"/>
        <v>620</v>
      </c>
      <c r="P247" s="74">
        <f t="shared" si="144"/>
        <v>416.95</v>
      </c>
      <c r="Q247" s="58">
        <f t="shared" si="145"/>
        <v>833.9</v>
      </c>
      <c r="R247" s="106"/>
      <c r="S247" s="106"/>
      <c r="T247" s="106"/>
      <c r="U247" s="106"/>
      <c r="V247" s="106"/>
      <c r="W247" s="106"/>
      <c r="X247" s="106"/>
      <c r="Y247" s="106"/>
      <c r="Z247" s="106"/>
      <c r="AA247" s="106"/>
      <c r="AB247" s="106"/>
      <c r="AC247" s="106"/>
      <c r="AD247" s="106"/>
      <c r="AE247" s="106"/>
      <c r="AF247" s="106"/>
      <c r="AG247" s="106"/>
      <c r="AH247" s="106"/>
      <c r="AI247" s="106"/>
      <c r="AJ247" s="106"/>
    </row>
    <row r="248" spans="1:36" s="99" customFormat="1">
      <c r="A248" s="65" t="str">
        <f>IF(F248&lt;&gt;"",1+MAX($A$2:A247),"")</f>
        <v/>
      </c>
      <c r="B248" s="56"/>
      <c r="C248" s="107"/>
      <c r="D248" s="57"/>
      <c r="E248" s="81"/>
      <c r="F248" s="108"/>
      <c r="G248" s="109"/>
      <c r="H248" s="79"/>
      <c r="I248" s="71"/>
      <c r="J248" s="72"/>
      <c r="K248" s="73"/>
      <c r="L248" s="74"/>
      <c r="M248" s="74"/>
      <c r="N248" s="74"/>
      <c r="O248" s="74"/>
      <c r="P248" s="74"/>
      <c r="Q248" s="58"/>
      <c r="R248" s="106"/>
      <c r="S248" s="106"/>
      <c r="T248" s="106"/>
      <c r="U248" s="106"/>
      <c r="V248" s="106"/>
      <c r="W248" s="106"/>
      <c r="X248" s="106"/>
      <c r="Y248" s="106"/>
      <c r="Z248" s="106"/>
      <c r="AA248" s="106"/>
      <c r="AB248" s="106"/>
      <c r="AC248" s="106"/>
      <c r="AD248" s="106"/>
      <c r="AE248" s="106"/>
      <c r="AF248" s="106"/>
      <c r="AG248" s="106"/>
      <c r="AH248" s="106"/>
      <c r="AI248" s="106"/>
      <c r="AJ248" s="106"/>
    </row>
    <row r="249" spans="1:36" s="99" customFormat="1">
      <c r="A249" s="77" t="str">
        <f>IF(F249&lt;&gt;"",1+MAX($A$2:A248),"")</f>
        <v/>
      </c>
      <c r="B249" s="56"/>
      <c r="C249" s="107"/>
      <c r="D249" s="110" t="s">
        <v>255</v>
      </c>
      <c r="E249" s="81"/>
      <c r="F249" s="108"/>
      <c r="G249" s="109"/>
      <c r="H249" s="79"/>
      <c r="I249" s="71"/>
      <c r="J249" s="72"/>
      <c r="K249" s="73"/>
      <c r="L249" s="74"/>
      <c r="M249" s="74"/>
      <c r="N249" s="74"/>
      <c r="O249" s="74"/>
      <c r="P249" s="74"/>
      <c r="Q249" s="58"/>
      <c r="R249" s="106"/>
      <c r="S249" s="106"/>
      <c r="T249" s="106"/>
      <c r="U249" s="106"/>
      <c r="V249" s="106"/>
      <c r="W249" s="106"/>
      <c r="X249" s="106"/>
      <c r="Y249" s="106"/>
      <c r="Z249" s="106"/>
      <c r="AA249" s="106"/>
      <c r="AB249" s="106"/>
      <c r="AC249" s="106"/>
      <c r="AD249" s="106"/>
      <c r="AE249" s="106"/>
      <c r="AF249" s="106"/>
      <c r="AG249" s="106"/>
      <c r="AH249" s="106"/>
      <c r="AI249" s="106"/>
      <c r="AJ249" s="106"/>
    </row>
    <row r="250" spans="1:36" s="99" customFormat="1">
      <c r="A250" s="65">
        <f>IF(F250&lt;&gt;"",1+MAX($A$2:A249),"")</f>
        <v>215</v>
      </c>
      <c r="B250" s="56"/>
      <c r="C250" s="107"/>
      <c r="D250" s="57" t="s">
        <v>256</v>
      </c>
      <c r="E250" s="81">
        <v>1</v>
      </c>
      <c r="F250" s="108">
        <v>0</v>
      </c>
      <c r="G250" s="109">
        <f t="shared" ref="G250:G260" si="148">E250*(1+F250)</f>
        <v>1</v>
      </c>
      <c r="H250" s="79" t="s">
        <v>43</v>
      </c>
      <c r="I250" s="71">
        <v>0.6</v>
      </c>
      <c r="J250" s="72">
        <f t="shared" ref="J250:J269" si="149">+I250*G250</f>
        <v>0.6</v>
      </c>
      <c r="K250" s="73">
        <f>'LABOR SHEET'!C$3</f>
        <v>46.5</v>
      </c>
      <c r="L250" s="74">
        <f t="shared" ref="L250:L269" si="150">I250*K250</f>
        <v>27.9</v>
      </c>
      <c r="M250" s="74">
        <f t="shared" ref="M250:M269" si="151">K250*J250</f>
        <v>27.9</v>
      </c>
      <c r="N250" s="74">
        <v>40</v>
      </c>
      <c r="O250" s="74">
        <f t="shared" ref="O250:O269" si="152">N250*G250</f>
        <v>40</v>
      </c>
      <c r="P250" s="74">
        <f t="shared" ref="P250:P269" si="153">(I250*K250)+N250</f>
        <v>67.900000000000006</v>
      </c>
      <c r="Q250" s="58">
        <f t="shared" ref="Q250:Q269" si="154">P250*G250</f>
        <v>67.900000000000006</v>
      </c>
      <c r="R250" s="106"/>
      <c r="S250" s="106"/>
      <c r="T250" s="106"/>
      <c r="U250" s="106"/>
      <c r="V250" s="106"/>
      <c r="W250" s="106"/>
      <c r="X250" s="106"/>
      <c r="Y250" s="106"/>
      <c r="Z250" s="106"/>
      <c r="AA250" s="106"/>
      <c r="AB250" s="106"/>
      <c r="AC250" s="106"/>
      <c r="AD250" s="106"/>
      <c r="AE250" s="106"/>
      <c r="AF250" s="106"/>
      <c r="AG250" s="106"/>
      <c r="AH250" s="106"/>
      <c r="AI250" s="106"/>
      <c r="AJ250" s="106"/>
    </row>
    <row r="251" spans="1:36" s="99" customFormat="1" ht="109.2">
      <c r="A251" s="77">
        <f>IF(F251&lt;&gt;"",1+MAX($A$2:A250),"")</f>
        <v>216</v>
      </c>
      <c r="B251" s="56"/>
      <c r="C251" s="107"/>
      <c r="D251" s="57" t="s">
        <v>257</v>
      </c>
      <c r="E251" s="81">
        <v>3</v>
      </c>
      <c r="F251" s="108">
        <v>0</v>
      </c>
      <c r="G251" s="109">
        <f t="shared" si="148"/>
        <v>3</v>
      </c>
      <c r="H251" s="79" t="s">
        <v>43</v>
      </c>
      <c r="I251" s="71">
        <v>1.25</v>
      </c>
      <c r="J251" s="72">
        <f t="shared" si="149"/>
        <v>3.75</v>
      </c>
      <c r="K251" s="73">
        <f>'LABOR SHEET'!C$3</f>
        <v>46.5</v>
      </c>
      <c r="L251" s="74">
        <f t="shared" si="150"/>
        <v>58.125</v>
      </c>
      <c r="M251" s="74">
        <f t="shared" si="151"/>
        <v>174.375</v>
      </c>
      <c r="N251" s="74">
        <v>155</v>
      </c>
      <c r="O251" s="74">
        <f t="shared" si="152"/>
        <v>465</v>
      </c>
      <c r="P251" s="74">
        <f t="shared" si="153"/>
        <v>213.125</v>
      </c>
      <c r="Q251" s="58">
        <f t="shared" si="154"/>
        <v>639.375</v>
      </c>
      <c r="R251" s="106"/>
      <c r="S251" s="106"/>
      <c r="T251" s="106"/>
      <c r="U251" s="106"/>
      <c r="V251" s="106"/>
      <c r="W251" s="106"/>
      <c r="X251" s="106"/>
      <c r="Y251" s="106"/>
      <c r="Z251" s="106"/>
      <c r="AA251" s="106"/>
      <c r="AB251" s="106"/>
      <c r="AC251" s="106"/>
      <c r="AD251" s="106"/>
      <c r="AE251" s="106"/>
      <c r="AF251" s="106"/>
      <c r="AG251" s="106"/>
      <c r="AH251" s="106"/>
      <c r="AI251" s="106"/>
      <c r="AJ251" s="106"/>
    </row>
    <row r="252" spans="1:36" s="99" customFormat="1" ht="109.2">
      <c r="A252" s="65">
        <f>IF(F252&lt;&gt;"",1+MAX($A$2:A251),"")</f>
        <v>217</v>
      </c>
      <c r="B252" s="56"/>
      <c r="C252" s="107"/>
      <c r="D252" s="57" t="s">
        <v>258</v>
      </c>
      <c r="E252" s="81">
        <v>4</v>
      </c>
      <c r="F252" s="108">
        <v>0</v>
      </c>
      <c r="G252" s="109">
        <f t="shared" si="148"/>
        <v>4</v>
      </c>
      <c r="H252" s="79" t="s">
        <v>43</v>
      </c>
      <c r="I252" s="71">
        <v>1.3</v>
      </c>
      <c r="J252" s="72">
        <f t="shared" si="149"/>
        <v>5.2</v>
      </c>
      <c r="K252" s="73">
        <f>'LABOR SHEET'!C$3</f>
        <v>46.5</v>
      </c>
      <c r="L252" s="74">
        <f t="shared" si="150"/>
        <v>60.45</v>
      </c>
      <c r="M252" s="74">
        <f t="shared" si="151"/>
        <v>241.8</v>
      </c>
      <c r="N252" s="74">
        <v>173</v>
      </c>
      <c r="O252" s="74">
        <f t="shared" si="152"/>
        <v>692</v>
      </c>
      <c r="P252" s="74">
        <f t="shared" si="153"/>
        <v>233.45</v>
      </c>
      <c r="Q252" s="58">
        <f t="shared" si="154"/>
        <v>933.8</v>
      </c>
      <c r="R252" s="106"/>
      <c r="S252" s="106"/>
      <c r="T252" s="106"/>
      <c r="U252" s="106"/>
      <c r="V252" s="106"/>
      <c r="W252" s="106"/>
      <c r="X252" s="106"/>
      <c r="Y252" s="106"/>
      <c r="Z252" s="106"/>
      <c r="AA252" s="106"/>
      <c r="AB252" s="106"/>
      <c r="AC252" s="106"/>
      <c r="AD252" s="106"/>
      <c r="AE252" s="106"/>
      <c r="AF252" s="106"/>
      <c r="AG252" s="106"/>
      <c r="AH252" s="106"/>
      <c r="AI252" s="106"/>
      <c r="AJ252" s="106"/>
    </row>
    <row r="253" spans="1:36" s="99" customFormat="1" ht="109.2">
      <c r="A253" s="77">
        <f>IF(F253&lt;&gt;"",1+MAX($A$2:A252),"")</f>
        <v>218</v>
      </c>
      <c r="B253" s="56"/>
      <c r="C253" s="107"/>
      <c r="D253" s="57" t="s">
        <v>259</v>
      </c>
      <c r="E253" s="81">
        <v>3</v>
      </c>
      <c r="F253" s="108">
        <v>0</v>
      </c>
      <c r="G253" s="109">
        <f t="shared" si="148"/>
        <v>3</v>
      </c>
      <c r="H253" s="79" t="s">
        <v>43</v>
      </c>
      <c r="I253" s="71">
        <v>1.85</v>
      </c>
      <c r="J253" s="72">
        <f t="shared" si="149"/>
        <v>5.5500000000000007</v>
      </c>
      <c r="K253" s="73">
        <f>'LABOR SHEET'!C$3</f>
        <v>46.5</v>
      </c>
      <c r="L253" s="74">
        <f t="shared" si="150"/>
        <v>86.025000000000006</v>
      </c>
      <c r="M253" s="74">
        <f t="shared" si="151"/>
        <v>258.07500000000005</v>
      </c>
      <c r="N253" s="74">
        <v>192</v>
      </c>
      <c r="O253" s="74">
        <f t="shared" si="152"/>
        <v>576</v>
      </c>
      <c r="P253" s="74">
        <f t="shared" si="153"/>
        <v>278.02499999999998</v>
      </c>
      <c r="Q253" s="58">
        <f t="shared" si="154"/>
        <v>834.07499999999993</v>
      </c>
      <c r="R253" s="106"/>
      <c r="S253" s="106"/>
      <c r="T253" s="106"/>
      <c r="U253" s="106"/>
      <c r="V253" s="106"/>
      <c r="W253" s="106"/>
      <c r="X253" s="106"/>
      <c r="Y253" s="106"/>
      <c r="Z253" s="106"/>
      <c r="AA253" s="106"/>
      <c r="AB253" s="106"/>
      <c r="AC253" s="106"/>
      <c r="AD253" s="106"/>
      <c r="AE253" s="106"/>
      <c r="AF253" s="106"/>
      <c r="AG253" s="106"/>
      <c r="AH253" s="106"/>
      <c r="AI253" s="106"/>
      <c r="AJ253" s="106"/>
    </row>
    <row r="254" spans="1:36" s="99" customFormat="1" ht="109.2">
      <c r="A254" s="65">
        <f>IF(F254&lt;&gt;"",1+MAX($A$2:A253),"")</f>
        <v>219</v>
      </c>
      <c r="B254" s="56"/>
      <c r="C254" s="107"/>
      <c r="D254" s="57" t="s">
        <v>260</v>
      </c>
      <c r="E254" s="81">
        <v>10</v>
      </c>
      <c r="F254" s="108">
        <v>0</v>
      </c>
      <c r="G254" s="109">
        <f t="shared" si="148"/>
        <v>10</v>
      </c>
      <c r="H254" s="79" t="s">
        <v>43</v>
      </c>
      <c r="I254" s="71">
        <v>1.9</v>
      </c>
      <c r="J254" s="72">
        <f t="shared" si="149"/>
        <v>19</v>
      </c>
      <c r="K254" s="73">
        <f>'LABOR SHEET'!C$3</f>
        <v>46.5</v>
      </c>
      <c r="L254" s="74">
        <f t="shared" si="150"/>
        <v>88.35</v>
      </c>
      <c r="M254" s="74">
        <f t="shared" si="151"/>
        <v>883.5</v>
      </c>
      <c r="N254" s="74">
        <v>210</v>
      </c>
      <c r="O254" s="74">
        <f t="shared" si="152"/>
        <v>2100</v>
      </c>
      <c r="P254" s="74">
        <f t="shared" si="153"/>
        <v>298.35000000000002</v>
      </c>
      <c r="Q254" s="58">
        <f t="shared" si="154"/>
        <v>2983.5</v>
      </c>
      <c r="R254" s="106"/>
      <c r="S254" s="106"/>
      <c r="T254" s="106"/>
      <c r="U254" s="106"/>
      <c r="V254" s="106"/>
      <c r="W254" s="106"/>
      <c r="X254" s="106"/>
      <c r="Y254" s="106"/>
      <c r="Z254" s="106"/>
      <c r="AA254" s="106"/>
      <c r="AB254" s="106"/>
      <c r="AC254" s="106"/>
      <c r="AD254" s="106"/>
      <c r="AE254" s="106"/>
      <c r="AF254" s="106"/>
      <c r="AG254" s="106"/>
      <c r="AH254" s="106"/>
      <c r="AI254" s="106"/>
      <c r="AJ254" s="106"/>
    </row>
    <row r="255" spans="1:36" s="99" customFormat="1" ht="109.2">
      <c r="A255" s="77">
        <f>IF(F255&lt;&gt;"",1+MAX($A$2:A254),"")</f>
        <v>220</v>
      </c>
      <c r="B255" s="56"/>
      <c r="C255" s="107"/>
      <c r="D255" s="57" t="s">
        <v>261</v>
      </c>
      <c r="E255" s="81">
        <v>8</v>
      </c>
      <c r="F255" s="108">
        <v>0</v>
      </c>
      <c r="G255" s="109">
        <f t="shared" si="148"/>
        <v>8</v>
      </c>
      <c r="H255" s="79" t="s">
        <v>43</v>
      </c>
      <c r="I255" s="71">
        <v>2</v>
      </c>
      <c r="J255" s="72">
        <f t="shared" si="149"/>
        <v>16</v>
      </c>
      <c r="K255" s="73">
        <f>'LABOR SHEET'!C$3</f>
        <v>46.5</v>
      </c>
      <c r="L255" s="74">
        <f t="shared" si="150"/>
        <v>93</v>
      </c>
      <c r="M255" s="74">
        <f t="shared" si="151"/>
        <v>744</v>
      </c>
      <c r="N255" s="74">
        <v>236</v>
      </c>
      <c r="O255" s="74">
        <f t="shared" si="152"/>
        <v>1888</v>
      </c>
      <c r="P255" s="74">
        <f t="shared" si="153"/>
        <v>329</v>
      </c>
      <c r="Q255" s="58">
        <f t="shared" si="154"/>
        <v>2632</v>
      </c>
      <c r="R255" s="106"/>
      <c r="S255" s="106"/>
      <c r="T255" s="106"/>
      <c r="U255" s="106"/>
      <c r="V255" s="106"/>
      <c r="W255" s="106"/>
      <c r="X255" s="106"/>
      <c r="Y255" s="106"/>
      <c r="Z255" s="106"/>
      <c r="AA255" s="106"/>
      <c r="AB255" s="106"/>
      <c r="AC255" s="106"/>
      <c r="AD255" s="106"/>
      <c r="AE255" s="106"/>
      <c r="AF255" s="106"/>
      <c r="AG255" s="106"/>
      <c r="AH255" s="106"/>
      <c r="AI255" s="106"/>
      <c r="AJ255" s="106"/>
    </row>
    <row r="256" spans="1:36" s="99" customFormat="1" ht="109.2">
      <c r="A256" s="65">
        <f>IF(F256&lt;&gt;"",1+MAX($A$2:A255),"")</f>
        <v>221</v>
      </c>
      <c r="B256" s="56"/>
      <c r="C256" s="107"/>
      <c r="D256" s="57" t="s">
        <v>262</v>
      </c>
      <c r="E256" s="81">
        <v>4</v>
      </c>
      <c r="F256" s="108">
        <v>0</v>
      </c>
      <c r="G256" s="109">
        <f t="shared" si="148"/>
        <v>4</v>
      </c>
      <c r="H256" s="79" t="s">
        <v>43</v>
      </c>
      <c r="I256" s="71">
        <v>2.2000000000000002</v>
      </c>
      <c r="J256" s="72">
        <f t="shared" si="149"/>
        <v>8.8000000000000007</v>
      </c>
      <c r="K256" s="73">
        <f>'LABOR SHEET'!C$3</f>
        <v>46.5</v>
      </c>
      <c r="L256" s="74">
        <f t="shared" si="150"/>
        <v>102.30000000000001</v>
      </c>
      <c r="M256" s="74">
        <f t="shared" si="151"/>
        <v>409.20000000000005</v>
      </c>
      <c r="N256" s="74">
        <v>277</v>
      </c>
      <c r="O256" s="74">
        <f t="shared" si="152"/>
        <v>1108</v>
      </c>
      <c r="P256" s="74">
        <f t="shared" si="153"/>
        <v>379.3</v>
      </c>
      <c r="Q256" s="58">
        <f t="shared" si="154"/>
        <v>1517.2</v>
      </c>
      <c r="R256" s="106"/>
      <c r="S256" s="106"/>
      <c r="T256" s="106"/>
      <c r="U256" s="106"/>
      <c r="V256" s="106"/>
      <c r="W256" s="106"/>
      <c r="X256" s="106"/>
      <c r="Y256" s="106"/>
      <c r="Z256" s="106"/>
      <c r="AA256" s="106"/>
      <c r="AB256" s="106"/>
      <c r="AC256" s="106"/>
      <c r="AD256" s="106"/>
      <c r="AE256" s="106"/>
      <c r="AF256" s="106"/>
      <c r="AG256" s="106"/>
      <c r="AH256" s="106"/>
      <c r="AI256" s="106"/>
      <c r="AJ256" s="106"/>
    </row>
    <row r="257" spans="1:36" s="99" customFormat="1">
      <c r="A257" s="77">
        <f>IF(F257&lt;&gt;"",1+MAX($A$2:A256),"")</f>
        <v>222</v>
      </c>
      <c r="B257" s="56"/>
      <c r="C257" s="107"/>
      <c r="D257" s="57" t="s">
        <v>263</v>
      </c>
      <c r="E257" s="81">
        <v>4</v>
      </c>
      <c r="F257" s="108">
        <v>0</v>
      </c>
      <c r="G257" s="109">
        <f t="shared" si="148"/>
        <v>4</v>
      </c>
      <c r="H257" s="79" t="s">
        <v>43</v>
      </c>
      <c r="I257" s="71">
        <v>0.3</v>
      </c>
      <c r="J257" s="72">
        <f t="shared" si="149"/>
        <v>1.2</v>
      </c>
      <c r="K257" s="73">
        <f>'LABOR SHEET'!C$3</f>
        <v>46.5</v>
      </c>
      <c r="L257" s="74">
        <f t="shared" si="150"/>
        <v>13.95</v>
      </c>
      <c r="M257" s="74">
        <f t="shared" si="151"/>
        <v>55.8</v>
      </c>
      <c r="N257" s="74">
        <v>37.5</v>
      </c>
      <c r="O257" s="74">
        <f t="shared" si="152"/>
        <v>150</v>
      </c>
      <c r="P257" s="74">
        <f t="shared" si="153"/>
        <v>51.45</v>
      </c>
      <c r="Q257" s="58">
        <f t="shared" si="154"/>
        <v>205.8</v>
      </c>
      <c r="R257" s="106"/>
      <c r="S257" s="106"/>
      <c r="T257" s="106"/>
      <c r="U257" s="106"/>
      <c r="V257" s="106"/>
      <c r="W257" s="106"/>
      <c r="X257" s="106"/>
      <c r="Y257" s="106"/>
      <c r="Z257" s="106"/>
      <c r="AA257" s="106"/>
      <c r="AB257" s="106"/>
      <c r="AC257" s="106"/>
      <c r="AD257" s="106"/>
      <c r="AE257" s="106"/>
      <c r="AF257" s="106"/>
      <c r="AG257" s="106"/>
      <c r="AH257" s="106"/>
      <c r="AI257" s="106"/>
      <c r="AJ257" s="106"/>
    </row>
    <row r="258" spans="1:36" s="99" customFormat="1">
      <c r="A258" s="65">
        <f>IF(F258&lt;&gt;"",1+MAX($A$2:A257),"")</f>
        <v>223</v>
      </c>
      <c r="B258" s="56"/>
      <c r="C258" s="107"/>
      <c r="D258" s="57" t="s">
        <v>231</v>
      </c>
      <c r="E258" s="81">
        <v>2</v>
      </c>
      <c r="F258" s="108">
        <v>0</v>
      </c>
      <c r="G258" s="109">
        <f t="shared" si="148"/>
        <v>2</v>
      </c>
      <c r="H258" s="79" t="s">
        <v>43</v>
      </c>
      <c r="I258" s="71">
        <v>0.35</v>
      </c>
      <c r="J258" s="72">
        <f t="shared" si="149"/>
        <v>0.7</v>
      </c>
      <c r="K258" s="73">
        <f>'LABOR SHEET'!C$3</f>
        <v>46.5</v>
      </c>
      <c r="L258" s="74">
        <f t="shared" si="150"/>
        <v>16.274999999999999</v>
      </c>
      <c r="M258" s="74">
        <f t="shared" si="151"/>
        <v>32.549999999999997</v>
      </c>
      <c r="N258" s="74">
        <v>45</v>
      </c>
      <c r="O258" s="74">
        <f t="shared" si="152"/>
        <v>90</v>
      </c>
      <c r="P258" s="74">
        <f t="shared" si="153"/>
        <v>61.274999999999999</v>
      </c>
      <c r="Q258" s="58">
        <f t="shared" si="154"/>
        <v>122.55</v>
      </c>
      <c r="R258" s="106"/>
      <c r="S258" s="106"/>
      <c r="T258" s="106"/>
      <c r="U258" s="106"/>
      <c r="V258" s="106"/>
      <c r="W258" s="106"/>
      <c r="X258" s="106"/>
      <c r="Y258" s="106"/>
      <c r="Z258" s="106"/>
      <c r="AA258" s="106"/>
      <c r="AB258" s="106"/>
      <c r="AC258" s="106"/>
      <c r="AD258" s="106"/>
      <c r="AE258" s="106"/>
      <c r="AF258" s="106"/>
      <c r="AG258" s="106"/>
      <c r="AH258" s="106"/>
      <c r="AI258" s="106"/>
      <c r="AJ258" s="106"/>
    </row>
    <row r="259" spans="1:36" s="99" customFormat="1">
      <c r="A259" s="77">
        <f>IF(F259&lt;&gt;"",1+MAX($A$2:A258),"")</f>
        <v>224</v>
      </c>
      <c r="B259" s="56"/>
      <c r="C259" s="107"/>
      <c r="D259" s="57" t="s">
        <v>232</v>
      </c>
      <c r="E259" s="81">
        <v>3</v>
      </c>
      <c r="F259" s="108">
        <v>0</v>
      </c>
      <c r="G259" s="109">
        <f t="shared" si="148"/>
        <v>3</v>
      </c>
      <c r="H259" s="79" t="s">
        <v>43</v>
      </c>
      <c r="I259" s="71">
        <v>0.4</v>
      </c>
      <c r="J259" s="72">
        <f t="shared" si="149"/>
        <v>1.2000000000000002</v>
      </c>
      <c r="K259" s="73">
        <f>'LABOR SHEET'!C$3</f>
        <v>46.5</v>
      </c>
      <c r="L259" s="74">
        <f t="shared" si="150"/>
        <v>18.600000000000001</v>
      </c>
      <c r="M259" s="74">
        <f t="shared" si="151"/>
        <v>55.800000000000011</v>
      </c>
      <c r="N259" s="74">
        <v>52.5</v>
      </c>
      <c r="O259" s="74">
        <f t="shared" si="152"/>
        <v>157.5</v>
      </c>
      <c r="P259" s="74">
        <f t="shared" si="153"/>
        <v>71.099999999999994</v>
      </c>
      <c r="Q259" s="58">
        <f t="shared" si="154"/>
        <v>213.29999999999998</v>
      </c>
      <c r="R259" s="106"/>
      <c r="S259" s="106"/>
      <c r="T259" s="106"/>
      <c r="U259" s="106"/>
      <c r="V259" s="106"/>
      <c r="W259" s="106"/>
      <c r="X259" s="106"/>
      <c r="Y259" s="106"/>
      <c r="Z259" s="106"/>
      <c r="AA259" s="106"/>
      <c r="AB259" s="106"/>
      <c r="AC259" s="106"/>
      <c r="AD259" s="106"/>
      <c r="AE259" s="106"/>
      <c r="AF259" s="106"/>
      <c r="AG259" s="106"/>
      <c r="AH259" s="106"/>
      <c r="AI259" s="106"/>
      <c r="AJ259" s="106"/>
    </row>
    <row r="260" spans="1:36" s="99" customFormat="1">
      <c r="A260" s="65">
        <f>IF(F260&lt;&gt;"",1+MAX($A$2:A259),"")</f>
        <v>225</v>
      </c>
      <c r="B260" s="56"/>
      <c r="C260" s="107"/>
      <c r="D260" s="57" t="s">
        <v>264</v>
      </c>
      <c r="E260" s="81">
        <v>1</v>
      </c>
      <c r="F260" s="108">
        <v>0</v>
      </c>
      <c r="G260" s="109">
        <f t="shared" si="148"/>
        <v>1</v>
      </c>
      <c r="H260" s="79" t="s">
        <v>43</v>
      </c>
      <c r="I260" s="71">
        <v>0.45</v>
      </c>
      <c r="J260" s="72">
        <f t="shared" si="149"/>
        <v>0.45</v>
      </c>
      <c r="K260" s="73">
        <f>'LABOR SHEET'!C$3</f>
        <v>46.5</v>
      </c>
      <c r="L260" s="74">
        <f t="shared" si="150"/>
        <v>20.925000000000001</v>
      </c>
      <c r="M260" s="74">
        <f t="shared" si="151"/>
        <v>20.925000000000001</v>
      </c>
      <c r="N260" s="74">
        <v>60</v>
      </c>
      <c r="O260" s="74">
        <f t="shared" si="152"/>
        <v>60</v>
      </c>
      <c r="P260" s="74">
        <f t="shared" si="153"/>
        <v>80.924999999999997</v>
      </c>
      <c r="Q260" s="58">
        <f t="shared" si="154"/>
        <v>80.924999999999997</v>
      </c>
      <c r="R260" s="106"/>
      <c r="S260" s="106"/>
      <c r="T260" s="106"/>
      <c r="U260" s="106"/>
      <c r="V260" s="106"/>
      <c r="W260" s="106"/>
      <c r="X260" s="106"/>
      <c r="Y260" s="106"/>
      <c r="Z260" s="106"/>
      <c r="AA260" s="106"/>
      <c r="AB260" s="106"/>
      <c r="AC260" s="106"/>
      <c r="AD260" s="106"/>
      <c r="AE260" s="106"/>
      <c r="AF260" s="106"/>
      <c r="AG260" s="106"/>
      <c r="AH260" s="106"/>
      <c r="AI260" s="106"/>
      <c r="AJ260" s="106"/>
    </row>
    <row r="261" spans="1:36" s="99" customFormat="1">
      <c r="A261" s="77">
        <f>IF(F261&lt;&gt;"",1+MAX($A$2:A260),"")</f>
        <v>226</v>
      </c>
      <c r="B261" s="56"/>
      <c r="C261" s="107"/>
      <c r="D261" s="57" t="s">
        <v>265</v>
      </c>
      <c r="E261" s="81">
        <v>5</v>
      </c>
      <c r="F261" s="108">
        <v>0</v>
      </c>
      <c r="G261" s="109">
        <f t="shared" ref="G261:G271" si="155">E261*(1+F261)</f>
        <v>5</v>
      </c>
      <c r="H261" s="79" t="s">
        <v>43</v>
      </c>
      <c r="I261" s="71">
        <v>0.3</v>
      </c>
      <c r="J261" s="72">
        <f t="shared" si="149"/>
        <v>1.5</v>
      </c>
      <c r="K261" s="73">
        <f>'LABOR SHEET'!C$3</f>
        <v>46.5</v>
      </c>
      <c r="L261" s="74">
        <f t="shared" si="150"/>
        <v>13.95</v>
      </c>
      <c r="M261" s="74">
        <f t="shared" si="151"/>
        <v>69.75</v>
      </c>
      <c r="N261" s="74">
        <v>30</v>
      </c>
      <c r="O261" s="74">
        <f t="shared" si="152"/>
        <v>150</v>
      </c>
      <c r="P261" s="74">
        <f t="shared" si="153"/>
        <v>43.95</v>
      </c>
      <c r="Q261" s="58">
        <f t="shared" si="154"/>
        <v>219.75</v>
      </c>
      <c r="R261" s="106"/>
      <c r="S261" s="106"/>
      <c r="T261" s="106"/>
      <c r="U261" s="106"/>
      <c r="V261" s="106"/>
      <c r="W261" s="106"/>
      <c r="X261" s="106"/>
      <c r="Y261" s="106"/>
      <c r="Z261" s="106"/>
      <c r="AA261" s="106"/>
      <c r="AB261" s="106"/>
      <c r="AC261" s="106"/>
      <c r="AD261" s="106"/>
      <c r="AE261" s="106"/>
      <c r="AF261" s="106"/>
      <c r="AG261" s="106"/>
      <c r="AH261" s="106"/>
      <c r="AI261" s="106"/>
      <c r="AJ261" s="106"/>
    </row>
    <row r="262" spans="1:36" s="99" customFormat="1">
      <c r="A262" s="65">
        <f>IF(F262&lt;&gt;"",1+MAX($A$2:A261),"")</f>
        <v>227</v>
      </c>
      <c r="B262" s="56"/>
      <c r="C262" s="107"/>
      <c r="D262" s="57" t="s">
        <v>266</v>
      </c>
      <c r="E262" s="81">
        <v>1</v>
      </c>
      <c r="F262" s="108">
        <v>0</v>
      </c>
      <c r="G262" s="109">
        <f t="shared" si="155"/>
        <v>1</v>
      </c>
      <c r="H262" s="79" t="s">
        <v>43</v>
      </c>
      <c r="I262" s="71">
        <v>0.35</v>
      </c>
      <c r="J262" s="72">
        <f t="shared" si="149"/>
        <v>0.35</v>
      </c>
      <c r="K262" s="73">
        <f>'LABOR SHEET'!C$3</f>
        <v>46.5</v>
      </c>
      <c r="L262" s="74">
        <f t="shared" si="150"/>
        <v>16.274999999999999</v>
      </c>
      <c r="M262" s="74">
        <f t="shared" si="151"/>
        <v>16.274999999999999</v>
      </c>
      <c r="N262" s="74">
        <v>37.5</v>
      </c>
      <c r="O262" s="74">
        <f t="shared" si="152"/>
        <v>37.5</v>
      </c>
      <c r="P262" s="74">
        <f t="shared" si="153"/>
        <v>53.774999999999999</v>
      </c>
      <c r="Q262" s="58">
        <f t="shared" si="154"/>
        <v>53.774999999999999</v>
      </c>
      <c r="R262" s="106"/>
      <c r="S262" s="106"/>
      <c r="T262" s="106"/>
      <c r="U262" s="106"/>
      <c r="V262" s="106"/>
      <c r="W262" s="106"/>
      <c r="X262" s="106"/>
      <c r="Y262" s="106"/>
      <c r="Z262" s="106"/>
      <c r="AA262" s="106"/>
      <c r="AB262" s="106"/>
      <c r="AC262" s="106"/>
      <c r="AD262" s="106"/>
      <c r="AE262" s="106"/>
      <c r="AF262" s="106"/>
      <c r="AG262" s="106"/>
      <c r="AH262" s="106"/>
      <c r="AI262" s="106"/>
      <c r="AJ262" s="106"/>
    </row>
    <row r="263" spans="1:36" s="99" customFormat="1">
      <c r="A263" s="77">
        <f>IF(F263&lt;&gt;"",1+MAX($A$2:A262),"")</f>
        <v>228</v>
      </c>
      <c r="B263" s="56"/>
      <c r="C263" s="107"/>
      <c r="D263" s="57" t="s">
        <v>267</v>
      </c>
      <c r="E263" s="81">
        <v>1</v>
      </c>
      <c r="F263" s="108">
        <v>0</v>
      </c>
      <c r="G263" s="109">
        <f t="shared" si="155"/>
        <v>1</v>
      </c>
      <c r="H263" s="79" t="s">
        <v>43</v>
      </c>
      <c r="I263" s="71">
        <v>0.4</v>
      </c>
      <c r="J263" s="72">
        <f t="shared" si="149"/>
        <v>0.4</v>
      </c>
      <c r="K263" s="73">
        <f>'LABOR SHEET'!C$3</f>
        <v>46.5</v>
      </c>
      <c r="L263" s="74">
        <f t="shared" si="150"/>
        <v>18.600000000000001</v>
      </c>
      <c r="M263" s="74">
        <f t="shared" si="151"/>
        <v>18.600000000000001</v>
      </c>
      <c r="N263" s="74">
        <v>37.5</v>
      </c>
      <c r="O263" s="74">
        <f t="shared" si="152"/>
        <v>37.5</v>
      </c>
      <c r="P263" s="74">
        <f t="shared" si="153"/>
        <v>56.1</v>
      </c>
      <c r="Q263" s="58">
        <f t="shared" si="154"/>
        <v>56.1</v>
      </c>
      <c r="R263" s="106"/>
      <c r="S263" s="106"/>
      <c r="T263" s="106"/>
      <c r="U263" s="106"/>
      <c r="V263" s="106"/>
      <c r="W263" s="106"/>
      <c r="X263" s="106"/>
      <c r="Y263" s="106"/>
      <c r="Z263" s="106"/>
      <c r="AA263" s="106"/>
      <c r="AB263" s="106"/>
      <c r="AC263" s="106"/>
      <c r="AD263" s="106"/>
      <c r="AE263" s="106"/>
      <c r="AF263" s="106"/>
      <c r="AG263" s="106"/>
      <c r="AH263" s="106"/>
      <c r="AI263" s="106"/>
      <c r="AJ263" s="106"/>
    </row>
    <row r="264" spans="1:36" s="99" customFormat="1">
      <c r="A264" s="65">
        <f>IF(F264&lt;&gt;"",1+MAX($A$2:A263),"")</f>
        <v>229</v>
      </c>
      <c r="B264" s="56"/>
      <c r="C264" s="107"/>
      <c r="D264" s="57" t="s">
        <v>268</v>
      </c>
      <c r="E264" s="81">
        <v>1</v>
      </c>
      <c r="F264" s="108">
        <v>0</v>
      </c>
      <c r="G264" s="109">
        <f t="shared" si="155"/>
        <v>1</v>
      </c>
      <c r="H264" s="79" t="s">
        <v>43</v>
      </c>
      <c r="I264" s="71">
        <v>0.45</v>
      </c>
      <c r="J264" s="72">
        <f t="shared" si="149"/>
        <v>0.45</v>
      </c>
      <c r="K264" s="73">
        <f>'LABOR SHEET'!C$3</f>
        <v>46.5</v>
      </c>
      <c r="L264" s="74">
        <f t="shared" si="150"/>
        <v>20.925000000000001</v>
      </c>
      <c r="M264" s="74">
        <f t="shared" si="151"/>
        <v>20.925000000000001</v>
      </c>
      <c r="N264" s="74">
        <v>45</v>
      </c>
      <c r="O264" s="74">
        <f t="shared" si="152"/>
        <v>45</v>
      </c>
      <c r="P264" s="74">
        <f t="shared" si="153"/>
        <v>65.924999999999997</v>
      </c>
      <c r="Q264" s="58">
        <f t="shared" si="154"/>
        <v>65.924999999999997</v>
      </c>
      <c r="R264" s="106"/>
      <c r="S264" s="106"/>
      <c r="T264" s="106"/>
      <c r="U264" s="106"/>
      <c r="V264" s="106"/>
      <c r="W264" s="106"/>
      <c r="X264" s="106"/>
      <c r="Y264" s="106"/>
      <c r="Z264" s="106"/>
      <c r="AA264" s="106"/>
      <c r="AB264" s="106"/>
      <c r="AC264" s="106"/>
      <c r="AD264" s="106"/>
      <c r="AE264" s="106"/>
      <c r="AF264" s="106"/>
      <c r="AG264" s="106"/>
      <c r="AH264" s="106"/>
      <c r="AI264" s="106"/>
      <c r="AJ264" s="106"/>
    </row>
    <row r="265" spans="1:36" s="99" customFormat="1">
      <c r="A265" s="77">
        <f>IF(F265&lt;&gt;"",1+MAX($A$2:A264),"")</f>
        <v>230</v>
      </c>
      <c r="B265" s="56"/>
      <c r="C265" s="107"/>
      <c r="D265" s="57" t="s">
        <v>269</v>
      </c>
      <c r="E265" s="81">
        <v>1</v>
      </c>
      <c r="F265" s="108">
        <v>0</v>
      </c>
      <c r="G265" s="109">
        <f t="shared" si="155"/>
        <v>1</v>
      </c>
      <c r="H265" s="79" t="s">
        <v>43</v>
      </c>
      <c r="I265" s="71">
        <v>0.46</v>
      </c>
      <c r="J265" s="72">
        <f t="shared" si="149"/>
        <v>0.46</v>
      </c>
      <c r="K265" s="73">
        <f>'LABOR SHEET'!C$3</f>
        <v>46.5</v>
      </c>
      <c r="L265" s="74">
        <f t="shared" si="150"/>
        <v>21.39</v>
      </c>
      <c r="M265" s="74">
        <f t="shared" si="151"/>
        <v>21.39</v>
      </c>
      <c r="N265" s="74">
        <v>55</v>
      </c>
      <c r="O265" s="74">
        <f t="shared" si="152"/>
        <v>55</v>
      </c>
      <c r="P265" s="74">
        <f t="shared" si="153"/>
        <v>76.39</v>
      </c>
      <c r="Q265" s="58">
        <f t="shared" si="154"/>
        <v>76.39</v>
      </c>
      <c r="R265" s="106"/>
      <c r="S265" s="106"/>
      <c r="T265" s="106"/>
      <c r="U265" s="106"/>
      <c r="V265" s="106"/>
      <c r="W265" s="106"/>
      <c r="X265" s="106"/>
      <c r="Y265" s="106"/>
      <c r="Z265" s="106"/>
      <c r="AA265" s="106"/>
      <c r="AB265" s="106"/>
      <c r="AC265" s="106"/>
      <c r="AD265" s="106"/>
      <c r="AE265" s="106"/>
      <c r="AF265" s="106"/>
      <c r="AG265" s="106"/>
      <c r="AH265" s="106"/>
      <c r="AI265" s="106"/>
      <c r="AJ265" s="106"/>
    </row>
    <row r="266" spans="1:36" s="99" customFormat="1">
      <c r="A266" s="65">
        <f>IF(F266&lt;&gt;"",1+MAX($A$2:A265),"")</f>
        <v>231</v>
      </c>
      <c r="B266" s="56"/>
      <c r="C266" s="107"/>
      <c r="D266" s="57" t="s">
        <v>270</v>
      </c>
      <c r="E266" s="81">
        <v>1</v>
      </c>
      <c r="F266" s="108">
        <v>0</v>
      </c>
      <c r="G266" s="109">
        <f t="shared" si="155"/>
        <v>1</v>
      </c>
      <c r="H266" s="79" t="s">
        <v>43</v>
      </c>
      <c r="I266" s="71">
        <v>0.49</v>
      </c>
      <c r="J266" s="72">
        <f t="shared" si="149"/>
        <v>0.49</v>
      </c>
      <c r="K266" s="73">
        <f>'LABOR SHEET'!C$3</f>
        <v>46.5</v>
      </c>
      <c r="L266" s="74">
        <f t="shared" si="150"/>
        <v>22.785</v>
      </c>
      <c r="M266" s="74">
        <f t="shared" si="151"/>
        <v>22.785</v>
      </c>
      <c r="N266" s="74">
        <v>60</v>
      </c>
      <c r="O266" s="74">
        <f t="shared" si="152"/>
        <v>60</v>
      </c>
      <c r="P266" s="74">
        <f t="shared" si="153"/>
        <v>82.784999999999997</v>
      </c>
      <c r="Q266" s="58">
        <f t="shared" si="154"/>
        <v>82.784999999999997</v>
      </c>
      <c r="R266" s="106"/>
      <c r="S266" s="106"/>
      <c r="T266" s="106"/>
      <c r="U266" s="106"/>
      <c r="V266" s="106"/>
      <c r="W266" s="106"/>
      <c r="X266" s="106"/>
      <c r="Y266" s="106"/>
      <c r="Z266" s="106"/>
      <c r="AA266" s="106"/>
      <c r="AB266" s="106"/>
      <c r="AC266" s="106"/>
      <c r="AD266" s="106"/>
      <c r="AE266" s="106"/>
      <c r="AF266" s="106"/>
      <c r="AG266" s="106"/>
      <c r="AH266" s="106"/>
      <c r="AI266" s="106"/>
      <c r="AJ266" s="106"/>
    </row>
    <row r="267" spans="1:36" s="99" customFormat="1">
      <c r="A267" s="77">
        <f>IF(F267&lt;&gt;"",1+MAX($A$2:A266),"")</f>
        <v>232</v>
      </c>
      <c r="B267" s="56"/>
      <c r="C267" s="107"/>
      <c r="D267" s="57" t="s">
        <v>271</v>
      </c>
      <c r="E267" s="81">
        <v>3</v>
      </c>
      <c r="F267" s="108">
        <v>0</v>
      </c>
      <c r="G267" s="109">
        <f t="shared" si="155"/>
        <v>3</v>
      </c>
      <c r="H267" s="79" t="s">
        <v>43</v>
      </c>
      <c r="I267" s="71">
        <v>0.5</v>
      </c>
      <c r="J267" s="72">
        <f t="shared" si="149"/>
        <v>1.5</v>
      </c>
      <c r="K267" s="73">
        <f>'LABOR SHEET'!C$3</f>
        <v>46.5</v>
      </c>
      <c r="L267" s="74">
        <f t="shared" si="150"/>
        <v>23.25</v>
      </c>
      <c r="M267" s="74">
        <f t="shared" si="151"/>
        <v>69.75</v>
      </c>
      <c r="N267" s="74">
        <v>45</v>
      </c>
      <c r="O267" s="74">
        <f t="shared" si="152"/>
        <v>135</v>
      </c>
      <c r="P267" s="74">
        <f t="shared" si="153"/>
        <v>68.25</v>
      </c>
      <c r="Q267" s="58">
        <f t="shared" si="154"/>
        <v>204.75</v>
      </c>
      <c r="R267" s="106"/>
      <c r="S267" s="106"/>
      <c r="T267" s="106"/>
      <c r="U267" s="106"/>
      <c r="V267" s="106"/>
      <c r="W267" s="106"/>
      <c r="X267" s="106"/>
      <c r="Y267" s="106"/>
      <c r="Z267" s="106"/>
      <c r="AA267" s="106"/>
      <c r="AB267" s="106"/>
      <c r="AC267" s="106"/>
      <c r="AD267" s="106"/>
      <c r="AE267" s="106"/>
      <c r="AF267" s="106"/>
      <c r="AG267" s="106"/>
      <c r="AH267" s="106"/>
      <c r="AI267" s="106"/>
      <c r="AJ267" s="106"/>
    </row>
    <row r="268" spans="1:36" s="99" customFormat="1">
      <c r="A268" s="65">
        <f>IF(F268&lt;&gt;"",1+MAX($A$2:A267),"")</f>
        <v>233</v>
      </c>
      <c r="B268" s="56"/>
      <c r="C268" s="107"/>
      <c r="D268" s="57" t="s">
        <v>272</v>
      </c>
      <c r="E268" s="81">
        <v>1</v>
      </c>
      <c r="F268" s="108">
        <v>0</v>
      </c>
      <c r="G268" s="109">
        <f t="shared" si="155"/>
        <v>1</v>
      </c>
      <c r="H268" s="79" t="s">
        <v>43</v>
      </c>
      <c r="I268" s="71">
        <v>0.4</v>
      </c>
      <c r="J268" s="72">
        <f t="shared" si="149"/>
        <v>0.4</v>
      </c>
      <c r="K268" s="73">
        <f>'LABOR SHEET'!C$3</f>
        <v>46.5</v>
      </c>
      <c r="L268" s="74">
        <f t="shared" si="150"/>
        <v>18.600000000000001</v>
      </c>
      <c r="M268" s="74">
        <f t="shared" si="151"/>
        <v>18.600000000000001</v>
      </c>
      <c r="N268" s="74">
        <v>52.5</v>
      </c>
      <c r="O268" s="74">
        <f t="shared" si="152"/>
        <v>52.5</v>
      </c>
      <c r="P268" s="74">
        <f t="shared" si="153"/>
        <v>71.099999999999994</v>
      </c>
      <c r="Q268" s="58">
        <f t="shared" si="154"/>
        <v>71.099999999999994</v>
      </c>
      <c r="R268" s="106"/>
      <c r="S268" s="106"/>
      <c r="T268" s="106"/>
      <c r="U268" s="106"/>
      <c r="V268" s="106"/>
      <c r="W268" s="106"/>
      <c r="X268" s="106"/>
      <c r="Y268" s="106"/>
      <c r="Z268" s="106"/>
      <c r="AA268" s="106"/>
      <c r="AB268" s="106"/>
      <c r="AC268" s="106"/>
      <c r="AD268" s="106"/>
      <c r="AE268" s="106"/>
      <c r="AF268" s="106"/>
      <c r="AG268" s="106"/>
      <c r="AH268" s="106"/>
      <c r="AI268" s="106"/>
      <c r="AJ268" s="106"/>
    </row>
    <row r="269" spans="1:36" s="99" customFormat="1">
      <c r="A269" s="77">
        <f>IF(F269&lt;&gt;"",1+MAX($A$2:A268),"")</f>
        <v>234</v>
      </c>
      <c r="B269" s="56"/>
      <c r="C269" s="107"/>
      <c r="D269" s="57" t="s">
        <v>273</v>
      </c>
      <c r="E269" s="81">
        <v>1</v>
      </c>
      <c r="F269" s="108">
        <v>0</v>
      </c>
      <c r="G269" s="109">
        <f t="shared" si="155"/>
        <v>1</v>
      </c>
      <c r="H269" s="79" t="s">
        <v>43</v>
      </c>
      <c r="I269" s="71">
        <v>0.5</v>
      </c>
      <c r="J269" s="72">
        <f t="shared" si="149"/>
        <v>0.5</v>
      </c>
      <c r="K269" s="73">
        <f>'LABOR SHEET'!C$3</f>
        <v>46.5</v>
      </c>
      <c r="L269" s="74">
        <f t="shared" si="150"/>
        <v>23.25</v>
      </c>
      <c r="M269" s="74">
        <f t="shared" si="151"/>
        <v>23.25</v>
      </c>
      <c r="N269" s="74">
        <v>60</v>
      </c>
      <c r="O269" s="74">
        <f t="shared" si="152"/>
        <v>60</v>
      </c>
      <c r="P269" s="74">
        <f t="shared" si="153"/>
        <v>83.25</v>
      </c>
      <c r="Q269" s="58">
        <f t="shared" si="154"/>
        <v>83.25</v>
      </c>
      <c r="R269" s="106"/>
      <c r="S269" s="106"/>
      <c r="T269" s="106"/>
      <c r="U269" s="106"/>
      <c r="V269" s="106"/>
      <c r="W269" s="106"/>
      <c r="X269" s="106"/>
      <c r="Y269" s="106"/>
      <c r="Z269" s="106"/>
      <c r="AA269" s="106"/>
      <c r="AB269" s="106"/>
      <c r="AC269" s="106"/>
      <c r="AD269" s="106"/>
      <c r="AE269" s="106"/>
      <c r="AF269" s="106"/>
      <c r="AG269" s="106"/>
      <c r="AH269" s="106"/>
      <c r="AI269" s="106"/>
      <c r="AJ269" s="106"/>
    </row>
    <row r="270" spans="1:36" s="99" customFormat="1" ht="62.4">
      <c r="A270" s="65">
        <f>IF(F270&lt;&gt;"",1+MAX($A$2:A269),"")</f>
        <v>235</v>
      </c>
      <c r="B270" s="56"/>
      <c r="C270" s="107"/>
      <c r="D270" s="57" t="s">
        <v>251</v>
      </c>
      <c r="E270" s="81">
        <v>1</v>
      </c>
      <c r="F270" s="108">
        <v>0</v>
      </c>
      <c r="G270" s="109">
        <f t="shared" si="155"/>
        <v>1</v>
      </c>
      <c r="H270" s="79" t="s">
        <v>43</v>
      </c>
      <c r="I270" s="71">
        <v>1.9</v>
      </c>
      <c r="J270" s="72">
        <f t="shared" ref="J270:J271" si="156">+I270*G270</f>
        <v>1.9</v>
      </c>
      <c r="K270" s="73">
        <f>'LABOR SHEET'!C$3</f>
        <v>46.5</v>
      </c>
      <c r="L270" s="74">
        <f t="shared" ref="L270:L271" si="157">I270*K270</f>
        <v>88.35</v>
      </c>
      <c r="M270" s="74">
        <f t="shared" ref="M270:M271" si="158">K270*J270</f>
        <v>88.35</v>
      </c>
      <c r="N270" s="74">
        <v>210</v>
      </c>
      <c r="O270" s="74">
        <f t="shared" ref="O270:O271" si="159">N270*G270</f>
        <v>210</v>
      </c>
      <c r="P270" s="74">
        <f t="shared" ref="P270:P271" si="160">(I270*K270)+N270</f>
        <v>298.35000000000002</v>
      </c>
      <c r="Q270" s="58">
        <f t="shared" ref="Q270:Q271" si="161">P270*G270</f>
        <v>298.35000000000002</v>
      </c>
      <c r="R270" s="106"/>
      <c r="S270" s="106"/>
      <c r="T270" s="106"/>
      <c r="U270" s="106"/>
      <c r="V270" s="106"/>
      <c r="W270" s="106"/>
      <c r="X270" s="106"/>
      <c r="Y270" s="106"/>
      <c r="Z270" s="106"/>
      <c r="AA270" s="106"/>
      <c r="AB270" s="106"/>
      <c r="AC270" s="106"/>
      <c r="AD270" s="106"/>
      <c r="AE270" s="106"/>
      <c r="AF270" s="106"/>
      <c r="AG270" s="106"/>
      <c r="AH270" s="106"/>
      <c r="AI270" s="106"/>
      <c r="AJ270" s="106"/>
    </row>
    <row r="271" spans="1:36" s="99" customFormat="1" ht="62.4">
      <c r="A271" s="77">
        <f>IF(F271&lt;&gt;"",1+MAX($A$2:A270),"")</f>
        <v>236</v>
      </c>
      <c r="B271" s="56"/>
      <c r="C271" s="107"/>
      <c r="D271" s="57" t="s">
        <v>274</v>
      </c>
      <c r="E271" s="81">
        <v>1</v>
      </c>
      <c r="F271" s="108">
        <v>0</v>
      </c>
      <c r="G271" s="109">
        <f t="shared" si="155"/>
        <v>1</v>
      </c>
      <c r="H271" s="79" t="s">
        <v>43</v>
      </c>
      <c r="I271" s="71">
        <v>2</v>
      </c>
      <c r="J271" s="72">
        <f t="shared" si="156"/>
        <v>2</v>
      </c>
      <c r="K271" s="73">
        <f>'LABOR SHEET'!C$3</f>
        <v>46.5</v>
      </c>
      <c r="L271" s="74">
        <f t="shared" si="157"/>
        <v>93</v>
      </c>
      <c r="M271" s="74">
        <f t="shared" si="158"/>
        <v>93</v>
      </c>
      <c r="N271" s="74">
        <v>236</v>
      </c>
      <c r="O271" s="74">
        <f t="shared" si="159"/>
        <v>236</v>
      </c>
      <c r="P271" s="74">
        <f t="shared" si="160"/>
        <v>329</v>
      </c>
      <c r="Q271" s="58">
        <f t="shared" si="161"/>
        <v>329</v>
      </c>
      <c r="R271" s="106"/>
      <c r="S271" s="106"/>
      <c r="T271" s="106"/>
      <c r="U271" s="106"/>
      <c r="V271" s="106"/>
      <c r="W271" s="106"/>
      <c r="X271" s="106"/>
      <c r="Y271" s="106"/>
      <c r="Z271" s="106"/>
      <c r="AA271" s="106"/>
      <c r="AB271" s="106"/>
      <c r="AC271" s="106"/>
      <c r="AD271" s="106"/>
      <c r="AE271" s="106"/>
      <c r="AF271" s="106"/>
      <c r="AG271" s="106"/>
      <c r="AH271" s="106"/>
      <c r="AI271" s="106"/>
      <c r="AJ271" s="106"/>
    </row>
    <row r="272" spans="1:36" s="99" customFormat="1">
      <c r="A272" s="65" t="str">
        <f>IF(F272&lt;&gt;"",1+MAX($A$2:A271),"")</f>
        <v/>
      </c>
      <c r="B272" s="56"/>
      <c r="C272" s="107"/>
      <c r="D272" s="57"/>
      <c r="E272" s="81"/>
      <c r="F272" s="108"/>
      <c r="G272" s="109"/>
      <c r="H272" s="79"/>
      <c r="I272" s="71"/>
      <c r="J272" s="72"/>
      <c r="K272" s="73"/>
      <c r="L272" s="74"/>
      <c r="M272" s="74"/>
      <c r="N272" s="74"/>
      <c r="O272" s="74"/>
      <c r="P272" s="74"/>
      <c r="Q272" s="58"/>
      <c r="R272" s="106"/>
      <c r="S272" s="106"/>
      <c r="T272" s="106"/>
      <c r="U272" s="106"/>
      <c r="V272" s="106"/>
      <c r="W272" s="106"/>
      <c r="X272" s="106"/>
      <c r="Y272" s="106"/>
      <c r="Z272" s="106"/>
      <c r="AA272" s="106"/>
      <c r="AB272" s="106"/>
      <c r="AC272" s="106"/>
      <c r="AD272" s="106"/>
      <c r="AE272" s="106"/>
      <c r="AF272" s="106"/>
      <c r="AG272" s="106"/>
      <c r="AH272" s="106"/>
      <c r="AI272" s="106"/>
      <c r="AJ272" s="106"/>
    </row>
    <row r="273" spans="1:36" s="99" customFormat="1">
      <c r="A273" s="77" t="str">
        <f>IF(F273&lt;&gt;"",1+MAX($A$2:A272),"")</f>
        <v/>
      </c>
      <c r="B273" s="55"/>
      <c r="C273" s="81"/>
      <c r="D273" s="101" t="s">
        <v>275</v>
      </c>
      <c r="E273" s="79"/>
      <c r="F273" s="79"/>
      <c r="G273" s="79"/>
      <c r="H273" s="79"/>
      <c r="I273" s="102"/>
      <c r="J273" s="103"/>
      <c r="K273" s="104"/>
      <c r="L273" s="74"/>
      <c r="M273" s="74"/>
      <c r="N273" s="74"/>
      <c r="O273" s="74"/>
      <c r="P273" s="74"/>
      <c r="Q273" s="105"/>
      <c r="R273" s="106"/>
      <c r="S273" s="106"/>
      <c r="T273" s="106"/>
      <c r="U273" s="106"/>
      <c r="V273" s="106"/>
      <c r="W273" s="106"/>
      <c r="X273" s="106"/>
      <c r="Y273" s="106"/>
      <c r="Z273" s="106"/>
      <c r="AA273" s="106"/>
      <c r="AB273" s="106"/>
      <c r="AC273" s="106"/>
      <c r="AD273" s="106"/>
      <c r="AE273" s="106"/>
      <c r="AF273" s="106"/>
      <c r="AG273" s="106"/>
      <c r="AH273" s="106"/>
      <c r="AI273" s="106"/>
      <c r="AJ273" s="106"/>
    </row>
    <row r="274" spans="1:36" s="99" customFormat="1">
      <c r="A274" s="65">
        <f>IF(F274&lt;&gt;"",1+MAX($A$2:A273),"")</f>
        <v>237</v>
      </c>
      <c r="B274" s="56"/>
      <c r="C274" s="107"/>
      <c r="D274" s="57" t="s">
        <v>113</v>
      </c>
      <c r="E274" s="81">
        <v>6450</v>
      </c>
      <c r="F274" s="108">
        <v>0.05</v>
      </c>
      <c r="G274" s="109">
        <f>E274*(1+F274)</f>
        <v>6772.5</v>
      </c>
      <c r="H274" s="79" t="s">
        <v>276</v>
      </c>
      <c r="I274" s="184"/>
      <c r="J274" s="185"/>
      <c r="K274" s="186"/>
      <c r="L274" s="187"/>
      <c r="M274" s="187"/>
      <c r="N274" s="187"/>
      <c r="O274" s="187"/>
      <c r="P274" s="187"/>
      <c r="Q274" s="188"/>
      <c r="R274" s="106"/>
      <c r="S274" s="106"/>
      <c r="T274" s="106"/>
      <c r="U274" s="106"/>
      <c r="V274" s="106"/>
      <c r="W274" s="106"/>
      <c r="X274" s="106"/>
      <c r="Y274" s="106"/>
      <c r="Z274" s="106"/>
      <c r="AA274" s="106"/>
      <c r="AB274" s="106"/>
      <c r="AC274" s="106"/>
      <c r="AD274" s="106"/>
      <c r="AE274" s="106"/>
      <c r="AF274" s="106"/>
      <c r="AG274" s="106"/>
      <c r="AH274" s="106"/>
      <c r="AI274" s="106"/>
      <c r="AJ274" s="106"/>
    </row>
    <row r="275" spans="1:36" s="99" customFormat="1" ht="31.2">
      <c r="A275" s="77">
        <f>IF(F275&lt;&gt;"",1+MAX($A$2:A274),"")</f>
        <v>238</v>
      </c>
      <c r="B275" s="56"/>
      <c r="C275" s="107"/>
      <c r="D275" s="57" t="s">
        <v>143</v>
      </c>
      <c r="E275" s="81">
        <f>4617*2</f>
        <v>9234</v>
      </c>
      <c r="F275" s="108">
        <v>0.05</v>
      </c>
      <c r="G275" s="109">
        <f>E275*(1+F275)</f>
        <v>9695.7000000000007</v>
      </c>
      <c r="H275" s="79" t="s">
        <v>276</v>
      </c>
      <c r="I275" s="184"/>
      <c r="J275" s="185"/>
      <c r="K275" s="186"/>
      <c r="L275" s="187"/>
      <c r="M275" s="187"/>
      <c r="N275" s="187"/>
      <c r="O275" s="187"/>
      <c r="P275" s="187"/>
      <c r="Q275" s="188"/>
      <c r="R275" s="106"/>
      <c r="S275" s="106"/>
      <c r="T275" s="106"/>
      <c r="U275" s="106"/>
      <c r="V275" s="106"/>
      <c r="W275" s="106"/>
      <c r="X275" s="106"/>
      <c r="Y275" s="106"/>
      <c r="Z275" s="106"/>
      <c r="AA275" s="106"/>
      <c r="AB275" s="106"/>
      <c r="AC275" s="106"/>
      <c r="AD275" s="106"/>
      <c r="AE275" s="106"/>
      <c r="AF275" s="106"/>
      <c r="AG275" s="106"/>
      <c r="AH275" s="106"/>
      <c r="AI275" s="106"/>
      <c r="AJ275" s="106"/>
    </row>
    <row r="276" spans="1:36" s="99" customFormat="1">
      <c r="A276" s="65" t="str">
        <f>IF(F276&lt;&gt;"",1+MAX($A$2:A275),"")</f>
        <v/>
      </c>
      <c r="B276" s="56"/>
      <c r="C276" s="107"/>
      <c r="D276" s="57"/>
      <c r="E276" s="81"/>
      <c r="F276" s="108"/>
      <c r="G276" s="109"/>
      <c r="H276" s="79"/>
      <c r="I276" s="71"/>
      <c r="J276" s="72"/>
      <c r="K276" s="73"/>
      <c r="L276" s="74"/>
      <c r="M276" s="74"/>
      <c r="N276" s="74"/>
      <c r="O276" s="74"/>
      <c r="P276" s="74"/>
      <c r="Q276" s="58"/>
      <c r="R276" s="106"/>
      <c r="S276" s="106"/>
      <c r="T276" s="106"/>
      <c r="U276" s="106"/>
      <c r="V276" s="106"/>
      <c r="W276" s="106"/>
      <c r="X276" s="106"/>
      <c r="Y276" s="106"/>
      <c r="Z276" s="106"/>
      <c r="AA276" s="106"/>
      <c r="AB276" s="106"/>
      <c r="AC276" s="106"/>
      <c r="AD276" s="106"/>
      <c r="AE276" s="106"/>
      <c r="AF276" s="106"/>
      <c r="AG276" s="106"/>
      <c r="AH276" s="106"/>
      <c r="AI276" s="106"/>
      <c r="AJ276" s="106"/>
    </row>
    <row r="277" spans="1:36" s="99" customFormat="1">
      <c r="A277" s="77" t="str">
        <f>IF(F277&lt;&gt;"",1+MAX($A$2:A276),"")</f>
        <v/>
      </c>
      <c r="B277" s="55"/>
      <c r="C277" s="81"/>
      <c r="D277" s="101" t="s">
        <v>277</v>
      </c>
      <c r="E277" s="79"/>
      <c r="F277" s="79"/>
      <c r="G277" s="79"/>
      <c r="H277" s="79"/>
      <c r="I277" s="102"/>
      <c r="J277" s="103"/>
      <c r="K277" s="104"/>
      <c r="L277" s="74"/>
      <c r="M277" s="74"/>
      <c r="N277" s="74"/>
      <c r="O277" s="74"/>
      <c r="P277" s="74"/>
      <c r="Q277" s="105"/>
      <c r="R277" s="106"/>
      <c r="S277" s="106"/>
      <c r="T277" s="106"/>
      <c r="U277" s="106"/>
      <c r="V277" s="106"/>
      <c r="W277" s="106"/>
      <c r="X277" s="106"/>
      <c r="Y277" s="106"/>
      <c r="Z277" s="106"/>
      <c r="AA277" s="106"/>
      <c r="AB277" s="106"/>
      <c r="AC277" s="106"/>
      <c r="AD277" s="106"/>
      <c r="AE277" s="106"/>
      <c r="AF277" s="106"/>
      <c r="AG277" s="106"/>
      <c r="AH277" s="106"/>
      <c r="AI277" s="106"/>
      <c r="AJ277" s="106"/>
    </row>
    <row r="278" spans="1:36" s="99" customFormat="1" ht="31.2">
      <c r="A278" s="65">
        <f>IF(F278&lt;&gt;"",1+MAX($A$2:A277),"")</f>
        <v>239</v>
      </c>
      <c r="B278" s="56"/>
      <c r="C278" s="107"/>
      <c r="D278" s="57" t="s">
        <v>278</v>
      </c>
      <c r="E278" s="81">
        <f>5102.01791666667-400</f>
        <v>4702.0179166666703</v>
      </c>
      <c r="F278" s="108">
        <v>0.05</v>
      </c>
      <c r="G278" s="109">
        <f>E278*(1+F278)</f>
        <v>4937.1188125000044</v>
      </c>
      <c r="H278" s="79" t="s">
        <v>279</v>
      </c>
      <c r="I278" s="71">
        <v>0.04</v>
      </c>
      <c r="J278" s="72">
        <f t="shared" ref="J278:J279" si="162">+I278*G278</f>
        <v>197.48475250000018</v>
      </c>
      <c r="K278" s="73">
        <f>'LABOR SHEET'!C$3</f>
        <v>46.5</v>
      </c>
      <c r="L278" s="74">
        <f t="shared" ref="L278:L279" si="163">I278*K278</f>
        <v>1.86</v>
      </c>
      <c r="M278" s="74">
        <f t="shared" ref="M278:M279" si="164">K278*J278</f>
        <v>9183.040991250009</v>
      </c>
      <c r="N278" s="74">
        <v>1.85</v>
      </c>
      <c r="O278" s="74">
        <f t="shared" ref="O278:O279" si="165">N278*G278</f>
        <v>9133.6698031250089</v>
      </c>
      <c r="P278" s="74">
        <f t="shared" ref="P278:P279" si="166">(I278*K278)+N278</f>
        <v>3.71</v>
      </c>
      <c r="Q278" s="58">
        <f t="shared" ref="Q278:Q279" si="167">P278*G278</f>
        <v>18316.710794375016</v>
      </c>
      <c r="R278" s="106"/>
      <c r="S278" s="106"/>
      <c r="T278" s="106"/>
      <c r="U278" s="106"/>
      <c r="V278" s="106"/>
      <c r="W278" s="106"/>
      <c r="X278" s="106"/>
      <c r="Y278" s="106"/>
      <c r="Z278" s="106"/>
      <c r="AA278" s="106"/>
      <c r="AB278" s="106"/>
      <c r="AC278" s="106"/>
      <c r="AD278" s="106"/>
      <c r="AE278" s="106"/>
      <c r="AF278" s="106"/>
      <c r="AG278" s="106"/>
      <c r="AH278" s="106"/>
      <c r="AI278" s="106"/>
      <c r="AJ278" s="106"/>
    </row>
    <row r="279" spans="1:36" s="99" customFormat="1" ht="31.2">
      <c r="A279" s="77">
        <f>IF(F279&lt;&gt;"",1+MAX($A$2:A278),"")</f>
        <v>240</v>
      </c>
      <c r="B279" s="56"/>
      <c r="C279" s="107"/>
      <c r="D279" s="57" t="s">
        <v>280</v>
      </c>
      <c r="E279" s="81">
        <f>3330+400</f>
        <v>3730</v>
      </c>
      <c r="F279" s="108">
        <v>0.05</v>
      </c>
      <c r="G279" s="109">
        <f t="shared" ref="G279:G285" si="168">E279*(1+F279)</f>
        <v>3916.5</v>
      </c>
      <c r="H279" s="79" t="s">
        <v>279</v>
      </c>
      <c r="I279" s="71">
        <v>5.5E-2</v>
      </c>
      <c r="J279" s="72">
        <f t="shared" si="162"/>
        <v>215.4075</v>
      </c>
      <c r="K279" s="73">
        <f>'LABOR SHEET'!C$3</f>
        <v>46.5</v>
      </c>
      <c r="L279" s="74">
        <f t="shared" si="163"/>
        <v>2.5575000000000001</v>
      </c>
      <c r="M279" s="74">
        <f t="shared" si="164"/>
        <v>10016.44875</v>
      </c>
      <c r="N279" s="74">
        <v>2.25</v>
      </c>
      <c r="O279" s="74">
        <f t="shared" si="165"/>
        <v>8812.125</v>
      </c>
      <c r="P279" s="74">
        <f t="shared" si="166"/>
        <v>4.8075000000000001</v>
      </c>
      <c r="Q279" s="58">
        <f t="shared" si="167"/>
        <v>18828.57375</v>
      </c>
      <c r="R279" s="106"/>
      <c r="S279" s="106"/>
      <c r="T279" s="106"/>
      <c r="U279" s="106"/>
      <c r="V279" s="106"/>
      <c r="W279" s="106"/>
      <c r="X279" s="106"/>
      <c r="Y279" s="106"/>
      <c r="Z279" s="106"/>
      <c r="AA279" s="106"/>
      <c r="AB279" s="106"/>
      <c r="AC279" s="106"/>
      <c r="AD279" s="106"/>
      <c r="AE279" s="106"/>
      <c r="AF279" s="106"/>
      <c r="AG279" s="106"/>
      <c r="AH279" s="106"/>
      <c r="AI279" s="106"/>
      <c r="AJ279" s="106"/>
    </row>
    <row r="280" spans="1:36" s="99" customFormat="1">
      <c r="A280" s="65" t="str">
        <f>IF(F280&lt;&gt;"",1+MAX($A$2:A279),"")</f>
        <v/>
      </c>
      <c r="B280" s="56"/>
      <c r="C280" s="107"/>
      <c r="D280" s="57"/>
      <c r="E280" s="81"/>
      <c r="F280" s="108"/>
      <c r="G280" s="109"/>
      <c r="H280" s="79"/>
      <c r="I280" s="71"/>
      <c r="J280" s="72"/>
      <c r="K280" s="73"/>
      <c r="L280" s="74"/>
      <c r="M280" s="74"/>
      <c r="N280" s="74"/>
      <c r="O280" s="74"/>
      <c r="P280" s="74"/>
      <c r="Q280" s="58"/>
      <c r="R280" s="106"/>
      <c r="S280" s="106"/>
      <c r="T280" s="106"/>
      <c r="U280" s="106"/>
      <c r="V280" s="106"/>
      <c r="W280" s="106"/>
      <c r="X280" s="106"/>
      <c r="Y280" s="106"/>
      <c r="Z280" s="106"/>
      <c r="AA280" s="106"/>
      <c r="AB280" s="106"/>
      <c r="AC280" s="106"/>
      <c r="AD280" s="106"/>
      <c r="AE280" s="106"/>
      <c r="AF280" s="106"/>
      <c r="AG280" s="106"/>
      <c r="AH280" s="106"/>
      <c r="AI280" s="106"/>
      <c r="AJ280" s="106"/>
    </row>
    <row r="281" spans="1:36" s="99" customFormat="1">
      <c r="A281" s="77" t="str">
        <f>IF(F281&lt;&gt;"",1+MAX($A$2:A280),"")</f>
        <v/>
      </c>
      <c r="B281" s="55"/>
      <c r="C281" s="81"/>
      <c r="D281" s="101" t="s">
        <v>281</v>
      </c>
      <c r="E281" s="79"/>
      <c r="F281" s="79"/>
      <c r="G281" s="79"/>
      <c r="H281" s="79"/>
      <c r="I281" s="102"/>
      <c r="J281" s="103"/>
      <c r="K281" s="104"/>
      <c r="L281" s="74"/>
      <c r="M281" s="74"/>
      <c r="N281" s="74"/>
      <c r="O281" s="74"/>
      <c r="P281" s="74"/>
      <c r="Q281" s="105"/>
      <c r="R281" s="106"/>
      <c r="S281" s="106"/>
      <c r="T281" s="106"/>
      <c r="U281" s="106"/>
      <c r="V281" s="106"/>
      <c r="W281" s="106"/>
      <c r="X281" s="106"/>
      <c r="Y281" s="106"/>
      <c r="Z281" s="106"/>
      <c r="AA281" s="106"/>
      <c r="AB281" s="106"/>
      <c r="AC281" s="106"/>
      <c r="AD281" s="106"/>
      <c r="AE281" s="106"/>
      <c r="AF281" s="106"/>
      <c r="AG281" s="106"/>
      <c r="AH281" s="106"/>
      <c r="AI281" s="106"/>
      <c r="AJ281" s="106"/>
    </row>
    <row r="282" spans="1:36" s="99" customFormat="1">
      <c r="A282" s="65" t="str">
        <f>IF(F282&lt;&gt;"",1+MAX($A$2:A281),"")</f>
        <v/>
      </c>
      <c r="B282" s="56"/>
      <c r="C282" s="107"/>
      <c r="D282" s="59" t="s">
        <v>282</v>
      </c>
      <c r="E282" s="81"/>
      <c r="F282" s="108"/>
      <c r="G282" s="109"/>
      <c r="H282" s="79"/>
      <c r="I282" s="71"/>
      <c r="J282" s="72"/>
      <c r="K282" s="73"/>
      <c r="L282" s="74"/>
      <c r="M282" s="74"/>
      <c r="N282" s="74"/>
      <c r="O282" s="74"/>
      <c r="P282" s="74"/>
      <c r="Q282" s="58"/>
      <c r="R282" s="106"/>
      <c r="S282" s="106"/>
      <c r="T282" s="106"/>
      <c r="U282" s="106"/>
      <c r="V282" s="106"/>
      <c r="W282" s="106"/>
      <c r="X282" s="106"/>
      <c r="Y282" s="106"/>
      <c r="Z282" s="106"/>
      <c r="AA282" s="106"/>
      <c r="AB282" s="106"/>
      <c r="AC282" s="106"/>
      <c r="AD282" s="106"/>
      <c r="AE282" s="106"/>
      <c r="AF282" s="106"/>
      <c r="AG282" s="106"/>
      <c r="AH282" s="106"/>
      <c r="AI282" s="106"/>
      <c r="AJ282" s="106"/>
    </row>
    <row r="283" spans="1:36" s="99" customFormat="1">
      <c r="A283" s="77">
        <f>IF(F283&lt;&gt;"",1+MAX($A$2:A282),"")</f>
        <v>241</v>
      </c>
      <c r="B283" s="56"/>
      <c r="C283" s="107"/>
      <c r="D283" s="57" t="s">
        <v>283</v>
      </c>
      <c r="E283" s="81">
        <v>80</v>
      </c>
      <c r="F283" s="108">
        <v>0.05</v>
      </c>
      <c r="G283" s="109">
        <f t="shared" si="168"/>
        <v>84</v>
      </c>
      <c r="H283" s="79" t="s">
        <v>99</v>
      </c>
      <c r="I283" s="71">
        <v>0.06</v>
      </c>
      <c r="J283" s="72">
        <f t="shared" ref="J283:J285" si="169">+I283*G283</f>
        <v>5.04</v>
      </c>
      <c r="K283" s="73">
        <f>'LABOR SHEET'!C$3</f>
        <v>46.5</v>
      </c>
      <c r="L283" s="74">
        <f t="shared" ref="L283:L285" si="170">I283*K283</f>
        <v>2.79</v>
      </c>
      <c r="M283" s="74">
        <f t="shared" ref="M283:M285" si="171">K283*J283</f>
        <v>234.36</v>
      </c>
      <c r="N283" s="74">
        <v>2.0299999999999998</v>
      </c>
      <c r="O283" s="74">
        <f t="shared" ref="O283:O285" si="172">N283*G283</f>
        <v>170.51999999999998</v>
      </c>
      <c r="P283" s="74">
        <f t="shared" ref="P283:P285" si="173">(I283*K283)+N283</f>
        <v>4.82</v>
      </c>
      <c r="Q283" s="58">
        <f t="shared" ref="Q283:Q285" si="174">P283*G283</f>
        <v>404.88</v>
      </c>
      <c r="R283" s="106"/>
      <c r="S283" s="106"/>
      <c r="T283" s="106"/>
      <c r="U283" s="106"/>
      <c r="V283" s="106"/>
      <c r="W283" s="106"/>
      <c r="X283" s="106"/>
      <c r="Y283" s="106"/>
      <c r="Z283" s="106"/>
      <c r="AA283" s="106"/>
      <c r="AB283" s="106"/>
      <c r="AC283" s="106"/>
      <c r="AD283" s="106"/>
      <c r="AE283" s="106"/>
      <c r="AF283" s="106"/>
      <c r="AG283" s="106"/>
      <c r="AH283" s="106"/>
      <c r="AI283" s="106"/>
      <c r="AJ283" s="106"/>
    </row>
    <row r="284" spans="1:36" s="99" customFormat="1">
      <c r="A284" s="65">
        <f>IF(F284&lt;&gt;"",1+MAX($A$2:A283),"")</f>
        <v>242</v>
      </c>
      <c r="B284" s="56"/>
      <c r="C284" s="107"/>
      <c r="D284" s="57" t="s">
        <v>284</v>
      </c>
      <c r="E284" s="81">
        <v>53</v>
      </c>
      <c r="F284" s="108">
        <v>0.05</v>
      </c>
      <c r="G284" s="109">
        <f t="shared" si="168"/>
        <v>55.650000000000006</v>
      </c>
      <c r="H284" s="79" t="s">
        <v>99</v>
      </c>
      <c r="I284" s="71">
        <v>7.6999999999999999E-2</v>
      </c>
      <c r="J284" s="72">
        <f t="shared" si="169"/>
        <v>4.28505</v>
      </c>
      <c r="K284" s="73">
        <f>'LABOR SHEET'!C$3</f>
        <v>46.5</v>
      </c>
      <c r="L284" s="74">
        <f t="shared" si="170"/>
        <v>3.5804999999999998</v>
      </c>
      <c r="M284" s="74">
        <f t="shared" si="171"/>
        <v>199.25482500000001</v>
      </c>
      <c r="N284" s="74">
        <v>2.65</v>
      </c>
      <c r="O284" s="74">
        <f t="shared" si="172"/>
        <v>147.4725</v>
      </c>
      <c r="P284" s="74">
        <f t="shared" si="173"/>
        <v>6.2304999999999993</v>
      </c>
      <c r="Q284" s="58">
        <f t="shared" si="174"/>
        <v>346.72732500000001</v>
      </c>
      <c r="R284" s="106"/>
      <c r="S284" s="106"/>
      <c r="T284" s="106"/>
      <c r="U284" s="106"/>
      <c r="V284" s="106"/>
      <c r="W284" s="106"/>
      <c r="X284" s="106"/>
      <c r="Y284" s="106"/>
      <c r="Z284" s="106"/>
      <c r="AA284" s="106"/>
      <c r="AB284" s="106"/>
      <c r="AC284" s="106"/>
      <c r="AD284" s="106"/>
      <c r="AE284" s="106"/>
      <c r="AF284" s="106"/>
      <c r="AG284" s="106"/>
      <c r="AH284" s="106"/>
      <c r="AI284" s="106"/>
      <c r="AJ284" s="106"/>
    </row>
    <row r="285" spans="1:36" s="99" customFormat="1">
      <c r="A285" s="77">
        <f>IF(F285&lt;&gt;"",1+MAX($A$2:A284),"")</f>
        <v>243</v>
      </c>
      <c r="B285" s="56"/>
      <c r="C285" s="107"/>
      <c r="D285" s="57" t="s">
        <v>285</v>
      </c>
      <c r="E285" s="81">
        <v>41.73</v>
      </c>
      <c r="F285" s="108">
        <v>0.05</v>
      </c>
      <c r="G285" s="109">
        <f t="shared" si="168"/>
        <v>43.816499999999998</v>
      </c>
      <c r="H285" s="79" t="s">
        <v>99</v>
      </c>
      <c r="I285" s="71">
        <v>0.1</v>
      </c>
      <c r="J285" s="72">
        <f t="shared" si="169"/>
        <v>4.3816499999999996</v>
      </c>
      <c r="K285" s="73">
        <f>'LABOR SHEET'!C$3</f>
        <v>46.5</v>
      </c>
      <c r="L285" s="74">
        <f t="shared" si="170"/>
        <v>4.6500000000000004</v>
      </c>
      <c r="M285" s="74">
        <f t="shared" si="171"/>
        <v>203.74672499999997</v>
      </c>
      <c r="N285" s="74">
        <v>3.35</v>
      </c>
      <c r="O285" s="74">
        <f t="shared" si="172"/>
        <v>146.78527499999998</v>
      </c>
      <c r="P285" s="74">
        <f t="shared" si="173"/>
        <v>8</v>
      </c>
      <c r="Q285" s="58">
        <f t="shared" si="174"/>
        <v>350.53199999999998</v>
      </c>
      <c r="R285" s="106"/>
      <c r="S285" s="106"/>
      <c r="T285" s="106"/>
      <c r="U285" s="106"/>
      <c r="V285" s="106"/>
      <c r="W285" s="106"/>
      <c r="X285" s="106"/>
      <c r="Y285" s="106"/>
      <c r="Z285" s="106"/>
      <c r="AA285" s="106"/>
      <c r="AB285" s="106"/>
      <c r="AC285" s="106"/>
      <c r="AD285" s="106"/>
      <c r="AE285" s="106"/>
      <c r="AF285" s="106"/>
      <c r="AG285" s="106"/>
      <c r="AH285" s="106"/>
      <c r="AI285" s="106"/>
      <c r="AJ285" s="106"/>
    </row>
    <row r="286" spans="1:36" s="99" customFormat="1">
      <c r="A286" s="65" t="str">
        <f>IF(F286&lt;&gt;"",1+MAX($A$2:A285),"")</f>
        <v/>
      </c>
      <c r="B286" s="56"/>
      <c r="C286" s="107"/>
      <c r="D286" s="57"/>
      <c r="E286" s="81"/>
      <c r="F286" s="108"/>
      <c r="G286" s="109"/>
      <c r="H286" s="79"/>
      <c r="I286" s="71"/>
      <c r="J286" s="72"/>
      <c r="K286" s="73"/>
      <c r="L286" s="74"/>
      <c r="M286" s="74"/>
      <c r="N286" s="74"/>
      <c r="O286" s="74"/>
      <c r="P286" s="74"/>
      <c r="Q286" s="58"/>
      <c r="R286" s="106"/>
      <c r="S286" s="106"/>
      <c r="T286" s="106"/>
      <c r="U286" s="106"/>
      <c r="V286" s="106"/>
      <c r="W286" s="106"/>
      <c r="X286" s="106"/>
      <c r="Y286" s="106"/>
      <c r="Z286" s="106"/>
      <c r="AA286" s="106"/>
      <c r="AB286" s="106"/>
      <c r="AC286" s="106"/>
      <c r="AD286" s="106"/>
      <c r="AE286" s="106"/>
      <c r="AF286" s="106"/>
      <c r="AG286" s="106"/>
      <c r="AH286" s="106"/>
      <c r="AI286" s="106"/>
      <c r="AJ286" s="106"/>
    </row>
    <row r="287" spans="1:36" s="99" customFormat="1" ht="31.2">
      <c r="A287" s="77" t="str">
        <f>IF(F287&lt;&gt;"",1+MAX($A$2:A286),"")</f>
        <v/>
      </c>
      <c r="B287" s="56"/>
      <c r="C287" s="107"/>
      <c r="D287" s="59" t="s">
        <v>286</v>
      </c>
      <c r="E287" s="81"/>
      <c r="F287" s="108"/>
      <c r="G287" s="109"/>
      <c r="H287" s="79"/>
      <c r="I287" s="71"/>
      <c r="J287" s="72"/>
      <c r="K287" s="73"/>
      <c r="L287" s="74"/>
      <c r="M287" s="74"/>
      <c r="N287" s="74"/>
      <c r="O287" s="74"/>
      <c r="P287" s="74"/>
      <c r="Q287" s="58"/>
      <c r="R287" s="106"/>
      <c r="S287" s="106"/>
      <c r="T287" s="106"/>
      <c r="U287" s="106"/>
      <c r="V287" s="106"/>
      <c r="W287" s="106"/>
      <c r="X287" s="106"/>
      <c r="Y287" s="106"/>
      <c r="Z287" s="106"/>
      <c r="AA287" s="106"/>
      <c r="AB287" s="106"/>
      <c r="AC287" s="106"/>
      <c r="AD287" s="106"/>
      <c r="AE287" s="106"/>
      <c r="AF287" s="106"/>
      <c r="AG287" s="106"/>
      <c r="AH287" s="106"/>
      <c r="AI287" s="106"/>
      <c r="AJ287" s="106"/>
    </row>
    <row r="288" spans="1:36" s="99" customFormat="1">
      <c r="A288" s="65">
        <f>IF(F288&lt;&gt;"",1+MAX($A$2:A287),"")</f>
        <v>244</v>
      </c>
      <c r="B288" s="56"/>
      <c r="C288" s="107"/>
      <c r="D288" s="57" t="s">
        <v>283</v>
      </c>
      <c r="E288" s="81">
        <v>32</v>
      </c>
      <c r="F288" s="108">
        <v>0.05</v>
      </c>
      <c r="G288" s="109">
        <f>E288*(1+F288)</f>
        <v>33.6</v>
      </c>
      <c r="H288" s="79" t="s">
        <v>99</v>
      </c>
      <c r="I288" s="71">
        <v>0.1</v>
      </c>
      <c r="J288" s="72">
        <f t="shared" ref="J288:J289" si="175">+I288*G288</f>
        <v>3.3600000000000003</v>
      </c>
      <c r="K288" s="73">
        <f>'LABOR SHEET'!C$3</f>
        <v>46.5</v>
      </c>
      <c r="L288" s="74">
        <f t="shared" ref="L288:L289" si="176">I288*K288</f>
        <v>4.6500000000000004</v>
      </c>
      <c r="M288" s="74">
        <f t="shared" ref="M288:M289" si="177">K288*J288</f>
        <v>156.24</v>
      </c>
      <c r="N288" s="74">
        <v>3.5</v>
      </c>
      <c r="O288" s="74">
        <f t="shared" ref="O288:O289" si="178">N288*G288</f>
        <v>117.60000000000001</v>
      </c>
      <c r="P288" s="74">
        <f t="shared" ref="P288:P289" si="179">(I288*K288)+N288</f>
        <v>8.15</v>
      </c>
      <c r="Q288" s="58">
        <f t="shared" ref="Q288:Q289" si="180">P288*G288</f>
        <v>273.84000000000003</v>
      </c>
      <c r="R288" s="106"/>
      <c r="S288" s="106"/>
      <c r="T288" s="106"/>
      <c r="U288" s="106"/>
      <c r="V288" s="106"/>
      <c r="W288" s="106"/>
      <c r="X288" s="106"/>
      <c r="Y288" s="106"/>
      <c r="Z288" s="106"/>
      <c r="AA288" s="106"/>
      <c r="AB288" s="106"/>
      <c r="AC288" s="106"/>
      <c r="AD288" s="106"/>
      <c r="AE288" s="106"/>
      <c r="AF288" s="106"/>
      <c r="AG288" s="106"/>
      <c r="AH288" s="106"/>
      <c r="AI288" s="106"/>
      <c r="AJ288" s="106"/>
    </row>
    <row r="289" spans="1:36" s="99" customFormat="1">
      <c r="A289" s="77">
        <f>IF(F289&lt;&gt;"",1+MAX($A$2:A288),"")</f>
        <v>245</v>
      </c>
      <c r="B289" s="56"/>
      <c r="C289" s="107"/>
      <c r="D289" s="57" t="s">
        <v>284</v>
      </c>
      <c r="E289" s="81">
        <v>40</v>
      </c>
      <c r="F289" s="108">
        <v>0.05</v>
      </c>
      <c r="G289" s="109">
        <f>E289*(1+F289)</f>
        <v>42</v>
      </c>
      <c r="H289" s="79" t="s">
        <v>99</v>
      </c>
      <c r="I289" s="71">
        <v>0.105</v>
      </c>
      <c r="J289" s="72">
        <f t="shared" si="175"/>
        <v>4.41</v>
      </c>
      <c r="K289" s="73">
        <f>'LABOR SHEET'!C$3</f>
        <v>46.5</v>
      </c>
      <c r="L289" s="74">
        <f t="shared" si="176"/>
        <v>4.8824999999999994</v>
      </c>
      <c r="M289" s="74">
        <f t="shared" si="177"/>
        <v>205.065</v>
      </c>
      <c r="N289" s="74">
        <v>5</v>
      </c>
      <c r="O289" s="74">
        <f t="shared" si="178"/>
        <v>210</v>
      </c>
      <c r="P289" s="74">
        <f t="shared" si="179"/>
        <v>9.8825000000000003</v>
      </c>
      <c r="Q289" s="58">
        <f t="shared" si="180"/>
        <v>415.065</v>
      </c>
      <c r="R289" s="106"/>
      <c r="S289" s="106"/>
      <c r="T289" s="106"/>
      <c r="U289" s="106"/>
      <c r="V289" s="106"/>
      <c r="W289" s="106"/>
      <c r="X289" s="106"/>
      <c r="Y289" s="106"/>
      <c r="Z289" s="106"/>
      <c r="AA289" s="106"/>
      <c r="AB289" s="106"/>
      <c r="AC289" s="106"/>
      <c r="AD289" s="106"/>
      <c r="AE289" s="106"/>
      <c r="AF289" s="106"/>
      <c r="AG289" s="106"/>
      <c r="AH289" s="106"/>
      <c r="AI289" s="106"/>
      <c r="AJ289" s="106"/>
    </row>
    <row r="290" spans="1:36" s="99" customFormat="1">
      <c r="A290" s="65" t="str">
        <f>IF(F290&lt;&gt;"",1+MAX($A$2:A289),"")</f>
        <v/>
      </c>
      <c r="B290" s="56"/>
      <c r="C290" s="107"/>
      <c r="D290" s="57"/>
      <c r="E290" s="81"/>
      <c r="F290" s="108"/>
      <c r="G290" s="109"/>
      <c r="H290" s="79"/>
      <c r="I290" s="71"/>
      <c r="J290" s="72"/>
      <c r="K290" s="73"/>
      <c r="L290" s="74"/>
      <c r="M290" s="74"/>
      <c r="N290" s="74"/>
      <c r="O290" s="74"/>
      <c r="P290" s="74"/>
      <c r="Q290" s="58"/>
      <c r="R290" s="106"/>
      <c r="S290" s="106"/>
      <c r="T290" s="106"/>
      <c r="U290" s="106"/>
      <c r="V290" s="106"/>
      <c r="W290" s="106"/>
      <c r="X290" s="106"/>
      <c r="Y290" s="106"/>
      <c r="Z290" s="106"/>
      <c r="AA290" s="106"/>
      <c r="AB290" s="106"/>
      <c r="AC290" s="106"/>
      <c r="AD290" s="106"/>
      <c r="AE290" s="106"/>
      <c r="AF290" s="106"/>
      <c r="AG290" s="106"/>
      <c r="AH290" s="106"/>
      <c r="AI290" s="106"/>
      <c r="AJ290" s="106"/>
    </row>
    <row r="291" spans="1:36" s="99" customFormat="1">
      <c r="A291" s="77" t="str">
        <f>IF(F291&lt;&gt;"",1+MAX($A$2:A290),"")</f>
        <v/>
      </c>
      <c r="B291" s="56"/>
      <c r="C291" s="107"/>
      <c r="D291" s="110" t="s">
        <v>287</v>
      </c>
      <c r="E291" s="81"/>
      <c r="F291" s="108"/>
      <c r="G291" s="109"/>
      <c r="H291" s="79"/>
      <c r="I291" s="71"/>
      <c r="J291" s="72"/>
      <c r="K291" s="73"/>
      <c r="L291" s="74"/>
      <c r="M291" s="74"/>
      <c r="N291" s="74"/>
      <c r="O291" s="74"/>
      <c r="P291" s="74"/>
      <c r="Q291" s="58"/>
      <c r="R291" s="106"/>
      <c r="S291" s="106"/>
      <c r="T291" s="106"/>
      <c r="U291" s="106"/>
      <c r="V291" s="106"/>
      <c r="W291" s="106"/>
      <c r="X291" s="106"/>
      <c r="Y291" s="106"/>
      <c r="Z291" s="106"/>
      <c r="AA291" s="106"/>
      <c r="AB291" s="106"/>
      <c r="AC291" s="106"/>
      <c r="AD291" s="106"/>
      <c r="AE291" s="106"/>
      <c r="AF291" s="106"/>
      <c r="AG291" s="106"/>
      <c r="AH291" s="106"/>
      <c r="AI291" s="106"/>
      <c r="AJ291" s="106"/>
    </row>
    <row r="292" spans="1:36" s="99" customFormat="1">
      <c r="A292" s="65">
        <f>IF(F292&lt;&gt;"",1+MAX($A$2:A291),"")</f>
        <v>246</v>
      </c>
      <c r="B292" s="56"/>
      <c r="C292" s="107"/>
      <c r="D292" s="57" t="s">
        <v>288</v>
      </c>
      <c r="E292" s="81">
        <v>9</v>
      </c>
      <c r="F292" s="108">
        <v>0</v>
      </c>
      <c r="G292" s="109">
        <f t="shared" ref="G292:G300" si="181">E292*(1+F292)</f>
        <v>9</v>
      </c>
      <c r="H292" s="79" t="s">
        <v>43</v>
      </c>
      <c r="I292" s="71">
        <v>0.3</v>
      </c>
      <c r="J292" s="72">
        <f t="shared" ref="J292:J300" si="182">+I292*G292</f>
        <v>2.6999999999999997</v>
      </c>
      <c r="K292" s="73">
        <f>'LABOR SHEET'!C$3</f>
        <v>46.5</v>
      </c>
      <c r="L292" s="74">
        <f t="shared" ref="L292:L300" si="183">I292*K292</f>
        <v>13.95</v>
      </c>
      <c r="M292" s="74">
        <f t="shared" ref="M292:M300" si="184">K292*J292</f>
        <v>125.54999999999998</v>
      </c>
      <c r="N292" s="74">
        <v>15</v>
      </c>
      <c r="O292" s="74">
        <f t="shared" ref="O292:O300" si="185">N292*G292</f>
        <v>135</v>
      </c>
      <c r="P292" s="74">
        <f t="shared" ref="P292:P300" si="186">(I292*K292)+N292</f>
        <v>28.95</v>
      </c>
      <c r="Q292" s="58">
        <f t="shared" ref="Q292:Q300" si="187">P292*G292</f>
        <v>260.55</v>
      </c>
      <c r="R292" s="106"/>
      <c r="S292" s="106"/>
      <c r="T292" s="106"/>
      <c r="U292" s="106"/>
      <c r="V292" s="106"/>
      <c r="W292" s="106"/>
      <c r="X292" s="106"/>
      <c r="Y292" s="106"/>
      <c r="Z292" s="106"/>
      <c r="AA292" s="106"/>
      <c r="AB292" s="106"/>
      <c r="AC292" s="106"/>
      <c r="AD292" s="106"/>
      <c r="AE292" s="106"/>
      <c r="AF292" s="106"/>
      <c r="AG292" s="106"/>
      <c r="AH292" s="106"/>
      <c r="AI292" s="106"/>
      <c r="AJ292" s="106"/>
    </row>
    <row r="293" spans="1:36" s="99" customFormat="1">
      <c r="A293" s="77">
        <f>IF(F293&lt;&gt;"",1+MAX($A$2:A292),"")</f>
        <v>247</v>
      </c>
      <c r="B293" s="56"/>
      <c r="C293" s="107"/>
      <c r="D293" s="57" t="s">
        <v>289</v>
      </c>
      <c r="E293" s="81">
        <v>4</v>
      </c>
      <c r="F293" s="108">
        <v>0</v>
      </c>
      <c r="G293" s="109">
        <f t="shared" si="181"/>
        <v>4</v>
      </c>
      <c r="H293" s="79" t="s">
        <v>43</v>
      </c>
      <c r="I293" s="71">
        <v>0.35</v>
      </c>
      <c r="J293" s="72">
        <f t="shared" si="182"/>
        <v>1.4</v>
      </c>
      <c r="K293" s="73">
        <f>'LABOR SHEET'!C$3</f>
        <v>46.5</v>
      </c>
      <c r="L293" s="74">
        <f t="shared" si="183"/>
        <v>16.274999999999999</v>
      </c>
      <c r="M293" s="74">
        <f t="shared" si="184"/>
        <v>65.099999999999994</v>
      </c>
      <c r="N293" s="74">
        <v>18.5</v>
      </c>
      <c r="O293" s="74">
        <f t="shared" si="185"/>
        <v>74</v>
      </c>
      <c r="P293" s="74">
        <f t="shared" si="186"/>
        <v>34.774999999999999</v>
      </c>
      <c r="Q293" s="58">
        <f t="shared" si="187"/>
        <v>139.1</v>
      </c>
      <c r="R293" s="106"/>
      <c r="S293" s="106"/>
      <c r="T293" s="106"/>
      <c r="U293" s="106"/>
      <c r="V293" s="106"/>
      <c r="W293" s="106"/>
      <c r="X293" s="106"/>
      <c r="Y293" s="106"/>
      <c r="Z293" s="106"/>
      <c r="AA293" s="106"/>
      <c r="AB293" s="106"/>
      <c r="AC293" s="106"/>
      <c r="AD293" s="106"/>
      <c r="AE293" s="106"/>
      <c r="AF293" s="106"/>
      <c r="AG293" s="106"/>
      <c r="AH293" s="106"/>
      <c r="AI293" s="106"/>
      <c r="AJ293" s="106"/>
    </row>
    <row r="294" spans="1:36" s="99" customFormat="1">
      <c r="A294" s="65">
        <f>IF(F294&lt;&gt;"",1+MAX($A$2:A293),"")</f>
        <v>248</v>
      </c>
      <c r="B294" s="56"/>
      <c r="C294" s="107"/>
      <c r="D294" s="57" t="s">
        <v>290</v>
      </c>
      <c r="E294" s="81">
        <v>5</v>
      </c>
      <c r="F294" s="108">
        <v>0</v>
      </c>
      <c r="G294" s="109">
        <f t="shared" si="181"/>
        <v>5</v>
      </c>
      <c r="H294" s="79" t="s">
        <v>43</v>
      </c>
      <c r="I294" s="71">
        <v>0.4</v>
      </c>
      <c r="J294" s="72">
        <f t="shared" si="182"/>
        <v>2</v>
      </c>
      <c r="K294" s="73">
        <f>'LABOR SHEET'!C$3</f>
        <v>46.5</v>
      </c>
      <c r="L294" s="74">
        <f t="shared" si="183"/>
        <v>18.600000000000001</v>
      </c>
      <c r="M294" s="74">
        <f t="shared" si="184"/>
        <v>93</v>
      </c>
      <c r="N294" s="74">
        <v>22.5</v>
      </c>
      <c r="O294" s="74">
        <f t="shared" si="185"/>
        <v>112.5</v>
      </c>
      <c r="P294" s="74">
        <f t="shared" si="186"/>
        <v>41.1</v>
      </c>
      <c r="Q294" s="58">
        <f t="shared" si="187"/>
        <v>205.5</v>
      </c>
      <c r="R294" s="106"/>
      <c r="S294" s="106"/>
      <c r="T294" s="106"/>
      <c r="U294" s="106"/>
      <c r="V294" s="106"/>
      <c r="W294" s="106"/>
      <c r="X294" s="106"/>
      <c r="Y294" s="106"/>
      <c r="Z294" s="106"/>
      <c r="AA294" s="106"/>
      <c r="AB294" s="106"/>
      <c r="AC294" s="106"/>
      <c r="AD294" s="106"/>
      <c r="AE294" s="106"/>
      <c r="AF294" s="106"/>
      <c r="AG294" s="106"/>
      <c r="AH294" s="106"/>
      <c r="AI294" s="106"/>
      <c r="AJ294" s="106"/>
    </row>
    <row r="295" spans="1:36" s="99" customFormat="1">
      <c r="A295" s="77">
        <f>IF(F295&lt;&gt;"",1+MAX($A$2:A294),"")</f>
        <v>249</v>
      </c>
      <c r="B295" s="56"/>
      <c r="C295" s="107"/>
      <c r="D295" s="57" t="s">
        <v>291</v>
      </c>
      <c r="E295" s="81">
        <v>1</v>
      </c>
      <c r="F295" s="108">
        <v>0</v>
      </c>
      <c r="G295" s="109">
        <f t="shared" si="181"/>
        <v>1</v>
      </c>
      <c r="H295" s="79" t="s">
        <v>43</v>
      </c>
      <c r="I295" s="71">
        <v>0.3</v>
      </c>
      <c r="J295" s="72">
        <f t="shared" si="182"/>
        <v>0.3</v>
      </c>
      <c r="K295" s="73">
        <f>'LABOR SHEET'!C$3</f>
        <v>46.5</v>
      </c>
      <c r="L295" s="74">
        <f t="shared" si="183"/>
        <v>13.95</v>
      </c>
      <c r="M295" s="74">
        <f t="shared" si="184"/>
        <v>13.95</v>
      </c>
      <c r="N295" s="74">
        <v>13</v>
      </c>
      <c r="O295" s="74">
        <f t="shared" si="185"/>
        <v>13</v>
      </c>
      <c r="P295" s="74">
        <f t="shared" si="186"/>
        <v>26.95</v>
      </c>
      <c r="Q295" s="58">
        <f t="shared" si="187"/>
        <v>26.95</v>
      </c>
      <c r="R295" s="106"/>
      <c r="S295" s="106"/>
      <c r="T295" s="106"/>
      <c r="U295" s="106"/>
      <c r="V295" s="106"/>
      <c r="W295" s="106"/>
      <c r="X295" s="106"/>
      <c r="Y295" s="106"/>
      <c r="Z295" s="106"/>
      <c r="AA295" s="106"/>
      <c r="AB295" s="106"/>
      <c r="AC295" s="106"/>
      <c r="AD295" s="106"/>
      <c r="AE295" s="106"/>
      <c r="AF295" s="106"/>
      <c r="AG295" s="106"/>
      <c r="AH295" s="106"/>
      <c r="AI295" s="106"/>
      <c r="AJ295" s="106"/>
    </row>
    <row r="296" spans="1:36" s="99" customFormat="1">
      <c r="A296" s="65">
        <f>IF(F296&lt;&gt;"",1+MAX($A$2:A295),"")</f>
        <v>250</v>
      </c>
      <c r="B296" s="56"/>
      <c r="C296" s="107"/>
      <c r="D296" s="57" t="s">
        <v>292</v>
      </c>
      <c r="E296" s="81">
        <v>1</v>
      </c>
      <c r="F296" s="108">
        <v>0</v>
      </c>
      <c r="G296" s="109">
        <f t="shared" si="181"/>
        <v>1</v>
      </c>
      <c r="H296" s="79" t="s">
        <v>43</v>
      </c>
      <c r="I296" s="71">
        <v>0.35</v>
      </c>
      <c r="J296" s="72">
        <f t="shared" si="182"/>
        <v>0.35</v>
      </c>
      <c r="K296" s="73">
        <f>'LABOR SHEET'!C$3</f>
        <v>46.5</v>
      </c>
      <c r="L296" s="74">
        <f t="shared" si="183"/>
        <v>16.274999999999999</v>
      </c>
      <c r="M296" s="74">
        <f t="shared" si="184"/>
        <v>16.274999999999999</v>
      </c>
      <c r="N296" s="74">
        <v>15</v>
      </c>
      <c r="O296" s="74">
        <f t="shared" si="185"/>
        <v>15</v>
      </c>
      <c r="P296" s="74">
        <f t="shared" si="186"/>
        <v>31.274999999999999</v>
      </c>
      <c r="Q296" s="58">
        <f t="shared" si="187"/>
        <v>31.274999999999999</v>
      </c>
      <c r="R296" s="106"/>
      <c r="S296" s="106"/>
      <c r="T296" s="106"/>
      <c r="U296" s="106"/>
      <c r="V296" s="106"/>
      <c r="W296" s="106"/>
      <c r="X296" s="106"/>
      <c r="Y296" s="106"/>
      <c r="Z296" s="106"/>
      <c r="AA296" s="106"/>
      <c r="AB296" s="106"/>
      <c r="AC296" s="106"/>
      <c r="AD296" s="106"/>
      <c r="AE296" s="106"/>
      <c r="AF296" s="106"/>
      <c r="AG296" s="106"/>
      <c r="AH296" s="106"/>
      <c r="AI296" s="106"/>
      <c r="AJ296" s="106"/>
    </row>
    <row r="297" spans="1:36" s="99" customFormat="1">
      <c r="A297" s="77">
        <f>IF(F297&lt;&gt;"",1+MAX($A$2:A296),"")</f>
        <v>251</v>
      </c>
      <c r="B297" s="56"/>
      <c r="C297" s="107"/>
      <c r="D297" s="57" t="s">
        <v>293</v>
      </c>
      <c r="E297" s="81">
        <v>1</v>
      </c>
      <c r="F297" s="108">
        <v>0</v>
      </c>
      <c r="G297" s="109">
        <f t="shared" si="181"/>
        <v>1</v>
      </c>
      <c r="H297" s="79" t="s">
        <v>43</v>
      </c>
      <c r="I297" s="71">
        <v>0.4</v>
      </c>
      <c r="J297" s="72">
        <f t="shared" si="182"/>
        <v>0.4</v>
      </c>
      <c r="K297" s="73">
        <f>'LABOR SHEET'!C$3</f>
        <v>46.5</v>
      </c>
      <c r="L297" s="74">
        <f t="shared" si="183"/>
        <v>18.600000000000001</v>
      </c>
      <c r="M297" s="74">
        <f t="shared" si="184"/>
        <v>18.600000000000001</v>
      </c>
      <c r="N297" s="74">
        <v>17</v>
      </c>
      <c r="O297" s="74">
        <f t="shared" si="185"/>
        <v>17</v>
      </c>
      <c r="P297" s="74">
        <f t="shared" si="186"/>
        <v>35.6</v>
      </c>
      <c r="Q297" s="58">
        <f t="shared" si="187"/>
        <v>35.6</v>
      </c>
      <c r="R297" s="106"/>
      <c r="S297" s="106"/>
      <c r="T297" s="106"/>
      <c r="U297" s="106"/>
      <c r="V297" s="106"/>
      <c r="W297" s="106"/>
      <c r="X297" s="106"/>
      <c r="Y297" s="106"/>
      <c r="Z297" s="106"/>
      <c r="AA297" s="106"/>
      <c r="AB297" s="106"/>
      <c r="AC297" s="106"/>
      <c r="AD297" s="106"/>
      <c r="AE297" s="106"/>
      <c r="AF297" s="106"/>
      <c r="AG297" s="106"/>
      <c r="AH297" s="106"/>
      <c r="AI297" s="106"/>
      <c r="AJ297" s="106"/>
    </row>
    <row r="298" spans="1:36" s="99" customFormat="1">
      <c r="A298" s="65">
        <f>IF(F298&lt;&gt;"",1+MAX($A$2:A297),"")</f>
        <v>252</v>
      </c>
      <c r="B298" s="56"/>
      <c r="C298" s="107"/>
      <c r="D298" s="57" t="s">
        <v>294</v>
      </c>
      <c r="E298" s="81">
        <v>7</v>
      </c>
      <c r="F298" s="108">
        <v>0</v>
      </c>
      <c r="G298" s="109">
        <f t="shared" si="181"/>
        <v>7</v>
      </c>
      <c r="H298" s="79" t="s">
        <v>43</v>
      </c>
      <c r="I298" s="71">
        <v>0.3</v>
      </c>
      <c r="J298" s="72">
        <f t="shared" si="182"/>
        <v>2.1</v>
      </c>
      <c r="K298" s="73">
        <f>'LABOR SHEET'!C$3</f>
        <v>46.5</v>
      </c>
      <c r="L298" s="74">
        <f t="shared" si="183"/>
        <v>13.95</v>
      </c>
      <c r="M298" s="74">
        <f t="shared" si="184"/>
        <v>97.65</v>
      </c>
      <c r="N298" s="74">
        <v>10.5</v>
      </c>
      <c r="O298" s="74">
        <f t="shared" si="185"/>
        <v>73.5</v>
      </c>
      <c r="P298" s="74">
        <f t="shared" si="186"/>
        <v>24.45</v>
      </c>
      <c r="Q298" s="58">
        <f t="shared" si="187"/>
        <v>171.15</v>
      </c>
      <c r="R298" s="106"/>
      <c r="S298" s="106"/>
      <c r="T298" s="106"/>
      <c r="U298" s="106"/>
      <c r="V298" s="106"/>
      <c r="W298" s="106"/>
      <c r="X298" s="106"/>
      <c r="Y298" s="106"/>
      <c r="Z298" s="106"/>
      <c r="AA298" s="106"/>
      <c r="AB298" s="106"/>
      <c r="AC298" s="106"/>
      <c r="AD298" s="106"/>
      <c r="AE298" s="106"/>
      <c r="AF298" s="106"/>
      <c r="AG298" s="106"/>
      <c r="AH298" s="106"/>
      <c r="AI298" s="106"/>
      <c r="AJ298" s="106"/>
    </row>
    <row r="299" spans="1:36" s="99" customFormat="1">
      <c r="A299" s="77">
        <f>IF(F299&lt;&gt;"",1+MAX($A$2:A298),"")</f>
        <v>253</v>
      </c>
      <c r="B299" s="56"/>
      <c r="C299" s="107"/>
      <c r="D299" s="57" t="s">
        <v>295</v>
      </c>
      <c r="E299" s="81">
        <v>1</v>
      </c>
      <c r="F299" s="108">
        <v>0</v>
      </c>
      <c r="G299" s="109">
        <f t="shared" si="181"/>
        <v>1</v>
      </c>
      <c r="H299" s="79" t="s">
        <v>43</v>
      </c>
      <c r="I299" s="71">
        <v>0.35</v>
      </c>
      <c r="J299" s="72">
        <f t="shared" si="182"/>
        <v>0.35</v>
      </c>
      <c r="K299" s="73">
        <f>'LABOR SHEET'!C$3</f>
        <v>46.5</v>
      </c>
      <c r="L299" s="74">
        <f t="shared" si="183"/>
        <v>16.274999999999999</v>
      </c>
      <c r="M299" s="74">
        <f t="shared" si="184"/>
        <v>16.274999999999999</v>
      </c>
      <c r="N299" s="74">
        <v>13</v>
      </c>
      <c r="O299" s="74">
        <f t="shared" si="185"/>
        <v>13</v>
      </c>
      <c r="P299" s="74">
        <f t="shared" si="186"/>
        <v>29.274999999999999</v>
      </c>
      <c r="Q299" s="58">
        <f t="shared" si="187"/>
        <v>29.274999999999999</v>
      </c>
      <c r="R299" s="106"/>
      <c r="S299" s="106"/>
      <c r="T299" s="106"/>
      <c r="U299" s="106"/>
      <c r="V299" s="106"/>
      <c r="W299" s="106"/>
      <c r="X299" s="106"/>
      <c r="Y299" s="106"/>
      <c r="Z299" s="106"/>
      <c r="AA299" s="106"/>
      <c r="AB299" s="106"/>
      <c r="AC299" s="106"/>
      <c r="AD299" s="106"/>
      <c r="AE299" s="106"/>
      <c r="AF299" s="106"/>
      <c r="AG299" s="106"/>
      <c r="AH299" s="106"/>
      <c r="AI299" s="106"/>
      <c r="AJ299" s="106"/>
    </row>
    <row r="300" spans="1:36" s="99" customFormat="1">
      <c r="A300" s="65">
        <f>IF(F300&lt;&gt;"",1+MAX($A$2:A299),"")</f>
        <v>254</v>
      </c>
      <c r="B300" s="56"/>
      <c r="C300" s="107"/>
      <c r="D300" s="57" t="s">
        <v>296</v>
      </c>
      <c r="E300" s="81">
        <v>1</v>
      </c>
      <c r="F300" s="108">
        <v>0</v>
      </c>
      <c r="G300" s="109">
        <f t="shared" si="181"/>
        <v>1</v>
      </c>
      <c r="H300" s="79" t="s">
        <v>43</v>
      </c>
      <c r="I300" s="71">
        <v>0.4</v>
      </c>
      <c r="J300" s="72">
        <f t="shared" si="182"/>
        <v>0.4</v>
      </c>
      <c r="K300" s="73">
        <f>'LABOR SHEET'!C$3</f>
        <v>46.5</v>
      </c>
      <c r="L300" s="74">
        <f t="shared" si="183"/>
        <v>18.600000000000001</v>
      </c>
      <c r="M300" s="74">
        <f t="shared" si="184"/>
        <v>18.600000000000001</v>
      </c>
      <c r="N300" s="74">
        <v>15</v>
      </c>
      <c r="O300" s="74">
        <f t="shared" si="185"/>
        <v>15</v>
      </c>
      <c r="P300" s="74">
        <f t="shared" si="186"/>
        <v>33.6</v>
      </c>
      <c r="Q300" s="58">
        <f t="shared" si="187"/>
        <v>33.6</v>
      </c>
      <c r="R300" s="106"/>
      <c r="S300" s="106"/>
      <c r="T300" s="106"/>
      <c r="U300" s="106"/>
      <c r="V300" s="106"/>
      <c r="W300" s="106"/>
      <c r="X300" s="106"/>
      <c r="Y300" s="106"/>
      <c r="Z300" s="106"/>
      <c r="AA300" s="106"/>
      <c r="AB300" s="106"/>
      <c r="AC300" s="106"/>
      <c r="AD300" s="106"/>
      <c r="AE300" s="106"/>
      <c r="AF300" s="106"/>
      <c r="AG300" s="106"/>
      <c r="AH300" s="106"/>
      <c r="AI300" s="106"/>
      <c r="AJ300" s="106"/>
    </row>
    <row r="301" spans="1:36" s="99" customFormat="1">
      <c r="A301" s="77" t="str">
        <f>IF(F301&lt;&gt;"",1+MAX($A$2:A300),"")</f>
        <v/>
      </c>
      <c r="B301" s="56"/>
      <c r="C301" s="107"/>
      <c r="D301" s="57"/>
      <c r="E301" s="81"/>
      <c r="F301" s="108"/>
      <c r="G301" s="109"/>
      <c r="H301" s="79"/>
      <c r="I301" s="71"/>
      <c r="J301" s="72"/>
      <c r="K301" s="73"/>
      <c r="L301" s="74"/>
      <c r="M301" s="74"/>
      <c r="N301" s="74"/>
      <c r="O301" s="74"/>
      <c r="P301" s="74"/>
      <c r="Q301" s="58"/>
      <c r="R301" s="106"/>
      <c r="S301" s="106"/>
      <c r="T301" s="106"/>
      <c r="U301" s="106"/>
      <c r="V301" s="106"/>
      <c r="W301" s="106"/>
      <c r="X301" s="106"/>
      <c r="Y301" s="106"/>
      <c r="Z301" s="106"/>
      <c r="AA301" s="106"/>
      <c r="AB301" s="106"/>
      <c r="AC301" s="106"/>
      <c r="AD301" s="106"/>
      <c r="AE301" s="106"/>
      <c r="AF301" s="106"/>
      <c r="AG301" s="106"/>
      <c r="AH301" s="106"/>
      <c r="AI301" s="106"/>
      <c r="AJ301" s="106"/>
    </row>
    <row r="302" spans="1:36" s="99" customFormat="1">
      <c r="A302" s="65" t="str">
        <f>IF(F302&lt;&gt;"",1+MAX($A$2:A301),"")</f>
        <v/>
      </c>
      <c r="B302" s="56"/>
      <c r="C302" s="107"/>
      <c r="D302" s="110" t="s">
        <v>297</v>
      </c>
      <c r="E302" s="81"/>
      <c r="F302" s="108"/>
      <c r="G302" s="109"/>
      <c r="H302" s="79"/>
      <c r="I302" s="71"/>
      <c r="J302" s="72"/>
      <c r="K302" s="73"/>
      <c r="L302" s="74"/>
      <c r="M302" s="74"/>
      <c r="N302" s="74"/>
      <c r="O302" s="74"/>
      <c r="P302" s="74"/>
      <c r="Q302" s="58"/>
      <c r="R302" s="106"/>
      <c r="S302" s="106"/>
      <c r="T302" s="106"/>
      <c r="U302" s="106"/>
      <c r="V302" s="106"/>
      <c r="W302" s="106"/>
      <c r="X302" s="106"/>
      <c r="Y302" s="106"/>
      <c r="Z302" s="106"/>
      <c r="AA302" s="106"/>
      <c r="AB302" s="106"/>
      <c r="AC302" s="106"/>
      <c r="AD302" s="106"/>
      <c r="AE302" s="106"/>
      <c r="AF302" s="106"/>
      <c r="AG302" s="106"/>
      <c r="AH302" s="106"/>
      <c r="AI302" s="106"/>
      <c r="AJ302" s="106"/>
    </row>
    <row r="303" spans="1:36" s="99" customFormat="1">
      <c r="A303" s="77">
        <f>IF(F303&lt;&gt;"",1+MAX($A$2:A302),"")</f>
        <v>255</v>
      </c>
      <c r="B303" s="56"/>
      <c r="C303" s="107"/>
      <c r="D303" s="57" t="s">
        <v>374</v>
      </c>
      <c r="E303" s="81">
        <v>1</v>
      </c>
      <c r="F303" s="108">
        <v>0</v>
      </c>
      <c r="G303" s="109">
        <f t="shared" ref="G303:G311" si="188">E303*(1+F303)</f>
        <v>1</v>
      </c>
      <c r="H303" s="79" t="s">
        <v>43</v>
      </c>
      <c r="I303" s="184"/>
      <c r="J303" s="185"/>
      <c r="K303" s="186"/>
      <c r="L303" s="187"/>
      <c r="M303" s="187"/>
      <c r="N303" s="187"/>
      <c r="O303" s="187"/>
      <c r="P303" s="187"/>
      <c r="Q303" s="188"/>
      <c r="R303" s="106"/>
      <c r="S303" s="106"/>
      <c r="T303" s="106"/>
      <c r="U303" s="106"/>
      <c r="V303" s="106"/>
      <c r="W303" s="106"/>
      <c r="X303" s="106"/>
      <c r="Y303" s="106"/>
      <c r="Z303" s="106"/>
      <c r="AA303" s="106"/>
      <c r="AB303" s="106"/>
      <c r="AC303" s="106"/>
      <c r="AD303" s="106"/>
      <c r="AE303" s="106"/>
      <c r="AF303" s="106"/>
      <c r="AG303" s="106"/>
      <c r="AH303" s="106"/>
      <c r="AI303" s="106"/>
      <c r="AJ303" s="106"/>
    </row>
    <row r="304" spans="1:36" s="99" customFormat="1">
      <c r="A304" s="65">
        <f>IF(F304&lt;&gt;"",1+MAX($A$2:A303),"")</f>
        <v>256</v>
      </c>
      <c r="B304" s="56"/>
      <c r="C304" s="107"/>
      <c r="D304" s="57" t="s">
        <v>298</v>
      </c>
      <c r="E304" s="81">
        <v>1</v>
      </c>
      <c r="F304" s="108">
        <v>0</v>
      </c>
      <c r="G304" s="109">
        <f t="shared" si="188"/>
        <v>1</v>
      </c>
      <c r="H304" s="79" t="s">
        <v>43</v>
      </c>
      <c r="I304" s="71">
        <v>1</v>
      </c>
      <c r="J304" s="72">
        <f t="shared" ref="J304:J311" si="189">+I304*G304</f>
        <v>1</v>
      </c>
      <c r="K304" s="73">
        <f>'LABOR SHEET'!C$3</f>
        <v>46.5</v>
      </c>
      <c r="L304" s="74">
        <f t="shared" ref="L304:L311" si="190">I304*K304</f>
        <v>46.5</v>
      </c>
      <c r="M304" s="74">
        <f t="shared" ref="M304:M311" si="191">K304*J304</f>
        <v>46.5</v>
      </c>
      <c r="N304" s="74">
        <v>110</v>
      </c>
      <c r="O304" s="74">
        <f t="shared" ref="O304:O311" si="192">N304*G304</f>
        <v>110</v>
      </c>
      <c r="P304" s="74">
        <f t="shared" ref="P304:P311" si="193">(I304*K304)+N304</f>
        <v>156.5</v>
      </c>
      <c r="Q304" s="58">
        <f t="shared" ref="Q304:Q311" si="194">P304*G304</f>
        <v>156.5</v>
      </c>
      <c r="R304" s="106"/>
      <c r="S304" s="106"/>
      <c r="T304" s="106"/>
      <c r="U304" s="106"/>
      <c r="V304" s="106"/>
      <c r="W304" s="106"/>
      <c r="X304" s="106"/>
      <c r="Y304" s="106"/>
      <c r="Z304" s="106"/>
      <c r="AA304" s="106"/>
      <c r="AB304" s="106"/>
      <c r="AC304" s="106"/>
      <c r="AD304" s="106"/>
      <c r="AE304" s="106"/>
      <c r="AF304" s="106"/>
      <c r="AG304" s="106"/>
      <c r="AH304" s="106"/>
      <c r="AI304" s="106"/>
      <c r="AJ304" s="106"/>
    </row>
    <row r="305" spans="1:36" s="99" customFormat="1">
      <c r="A305" s="77">
        <f>IF(F305&lt;&gt;"",1+MAX($A$2:A304),"")</f>
        <v>257</v>
      </c>
      <c r="B305" s="56"/>
      <c r="C305" s="107"/>
      <c r="D305" s="57" t="s">
        <v>299</v>
      </c>
      <c r="E305" s="81">
        <v>1</v>
      </c>
      <c r="F305" s="108">
        <v>0</v>
      </c>
      <c r="G305" s="109">
        <f t="shared" si="188"/>
        <v>1</v>
      </c>
      <c r="H305" s="79" t="s">
        <v>43</v>
      </c>
      <c r="I305" s="71">
        <v>0.6</v>
      </c>
      <c r="J305" s="72">
        <f t="shared" si="189"/>
        <v>0.6</v>
      </c>
      <c r="K305" s="73">
        <f>'LABOR SHEET'!C$3</f>
        <v>46.5</v>
      </c>
      <c r="L305" s="74">
        <f t="shared" si="190"/>
        <v>27.9</v>
      </c>
      <c r="M305" s="74">
        <f t="shared" si="191"/>
        <v>27.9</v>
      </c>
      <c r="N305" s="74">
        <v>86</v>
      </c>
      <c r="O305" s="74">
        <f t="shared" si="192"/>
        <v>86</v>
      </c>
      <c r="P305" s="74">
        <f t="shared" si="193"/>
        <v>113.9</v>
      </c>
      <c r="Q305" s="58">
        <f t="shared" si="194"/>
        <v>113.9</v>
      </c>
      <c r="R305" s="106"/>
      <c r="S305" s="106"/>
      <c r="T305" s="106"/>
      <c r="U305" s="106"/>
      <c r="V305" s="106"/>
      <c r="W305" s="106"/>
      <c r="X305" s="106"/>
      <c r="Y305" s="106"/>
      <c r="Z305" s="106"/>
      <c r="AA305" s="106"/>
      <c r="AB305" s="106"/>
      <c r="AC305" s="106"/>
      <c r="AD305" s="106"/>
      <c r="AE305" s="106"/>
      <c r="AF305" s="106"/>
      <c r="AG305" s="106"/>
      <c r="AH305" s="106"/>
      <c r="AI305" s="106"/>
      <c r="AJ305" s="106"/>
    </row>
    <row r="306" spans="1:36" s="99" customFormat="1">
      <c r="A306" s="65">
        <f>IF(F306&lt;&gt;"",1+MAX($A$2:A305),"")</f>
        <v>258</v>
      </c>
      <c r="B306" s="56"/>
      <c r="C306" s="107"/>
      <c r="D306" s="57" t="s">
        <v>300</v>
      </c>
      <c r="E306" s="81">
        <v>5</v>
      </c>
      <c r="F306" s="108">
        <v>0</v>
      </c>
      <c r="G306" s="109">
        <f t="shared" si="188"/>
        <v>5</v>
      </c>
      <c r="H306" s="79" t="s">
        <v>43</v>
      </c>
      <c r="I306" s="71">
        <v>0.4</v>
      </c>
      <c r="J306" s="72">
        <f t="shared" si="189"/>
        <v>2</v>
      </c>
      <c r="K306" s="73">
        <f>'LABOR SHEET'!C$3</f>
        <v>46.5</v>
      </c>
      <c r="L306" s="74">
        <f t="shared" si="190"/>
        <v>18.600000000000001</v>
      </c>
      <c r="M306" s="74">
        <f t="shared" si="191"/>
        <v>93</v>
      </c>
      <c r="N306" s="74">
        <v>40</v>
      </c>
      <c r="O306" s="74">
        <f t="shared" si="192"/>
        <v>200</v>
      </c>
      <c r="P306" s="74">
        <f t="shared" si="193"/>
        <v>58.6</v>
      </c>
      <c r="Q306" s="58">
        <f t="shared" si="194"/>
        <v>293</v>
      </c>
      <c r="R306" s="106"/>
      <c r="S306" s="106"/>
      <c r="T306" s="106"/>
      <c r="U306" s="106"/>
      <c r="V306" s="106"/>
      <c r="W306" s="106"/>
      <c r="X306" s="106"/>
      <c r="Y306" s="106"/>
      <c r="Z306" s="106"/>
      <c r="AA306" s="106"/>
      <c r="AB306" s="106"/>
      <c r="AC306" s="106"/>
      <c r="AD306" s="106"/>
      <c r="AE306" s="106"/>
      <c r="AF306" s="106"/>
      <c r="AG306" s="106"/>
      <c r="AH306" s="106"/>
      <c r="AI306" s="106"/>
      <c r="AJ306" s="106"/>
    </row>
    <row r="307" spans="1:36" s="99" customFormat="1">
      <c r="A307" s="77">
        <f>IF(F307&lt;&gt;"",1+MAX($A$2:A306),"")</f>
        <v>259</v>
      </c>
      <c r="B307" s="56"/>
      <c r="C307" s="107"/>
      <c r="D307" s="57" t="s">
        <v>301</v>
      </c>
      <c r="E307" s="81">
        <v>5</v>
      </c>
      <c r="F307" s="108">
        <v>0</v>
      </c>
      <c r="G307" s="109">
        <f t="shared" si="188"/>
        <v>5</v>
      </c>
      <c r="H307" s="79" t="s">
        <v>43</v>
      </c>
      <c r="I307" s="71">
        <v>0.65</v>
      </c>
      <c r="J307" s="72">
        <f t="shared" si="189"/>
        <v>3.25</v>
      </c>
      <c r="K307" s="73">
        <f>'LABOR SHEET'!C$3</f>
        <v>46.5</v>
      </c>
      <c r="L307" s="74">
        <f t="shared" si="190"/>
        <v>30.225000000000001</v>
      </c>
      <c r="M307" s="74">
        <f t="shared" si="191"/>
        <v>151.125</v>
      </c>
      <c r="N307" s="74">
        <v>68</v>
      </c>
      <c r="O307" s="74">
        <f t="shared" si="192"/>
        <v>340</v>
      </c>
      <c r="P307" s="74">
        <f t="shared" si="193"/>
        <v>98.224999999999994</v>
      </c>
      <c r="Q307" s="58">
        <f t="shared" si="194"/>
        <v>491.125</v>
      </c>
      <c r="R307" s="106"/>
      <c r="S307" s="106"/>
      <c r="T307" s="106"/>
      <c r="U307" s="106"/>
      <c r="V307" s="106"/>
      <c r="W307" s="106"/>
      <c r="X307" s="106"/>
      <c r="Y307" s="106"/>
      <c r="Z307" s="106"/>
      <c r="AA307" s="106"/>
      <c r="AB307" s="106"/>
      <c r="AC307" s="106"/>
      <c r="AD307" s="106"/>
      <c r="AE307" s="106"/>
      <c r="AF307" s="106"/>
      <c r="AG307" s="106"/>
      <c r="AH307" s="106"/>
      <c r="AI307" s="106"/>
      <c r="AJ307" s="106"/>
    </row>
    <row r="308" spans="1:36" s="99" customFormat="1">
      <c r="A308" s="65">
        <f>IF(F308&lt;&gt;"",1+MAX($A$2:A307),"")</f>
        <v>260</v>
      </c>
      <c r="B308" s="56"/>
      <c r="C308" s="107"/>
      <c r="D308" s="57" t="s">
        <v>302</v>
      </c>
      <c r="E308" s="81">
        <v>5</v>
      </c>
      <c r="F308" s="108">
        <v>0</v>
      </c>
      <c r="G308" s="109">
        <f t="shared" si="188"/>
        <v>5</v>
      </c>
      <c r="H308" s="79" t="s">
        <v>43</v>
      </c>
      <c r="I308" s="71">
        <v>0.7</v>
      </c>
      <c r="J308" s="72">
        <f t="shared" si="189"/>
        <v>3.5</v>
      </c>
      <c r="K308" s="73">
        <f>'LABOR SHEET'!C$3</f>
        <v>46.5</v>
      </c>
      <c r="L308" s="74">
        <f t="shared" si="190"/>
        <v>32.549999999999997</v>
      </c>
      <c r="M308" s="74">
        <f t="shared" si="191"/>
        <v>162.75</v>
      </c>
      <c r="N308" s="74">
        <v>70</v>
      </c>
      <c r="O308" s="74">
        <f t="shared" si="192"/>
        <v>350</v>
      </c>
      <c r="P308" s="74">
        <f t="shared" si="193"/>
        <v>102.55</v>
      </c>
      <c r="Q308" s="58">
        <f t="shared" si="194"/>
        <v>512.75</v>
      </c>
      <c r="R308" s="106"/>
      <c r="S308" s="106"/>
      <c r="T308" s="106"/>
      <c r="U308" s="106"/>
      <c r="V308" s="106"/>
      <c r="W308" s="106"/>
      <c r="X308" s="106"/>
      <c r="Y308" s="106"/>
      <c r="Z308" s="106"/>
      <c r="AA308" s="106"/>
      <c r="AB308" s="106"/>
      <c r="AC308" s="106"/>
      <c r="AD308" s="106"/>
      <c r="AE308" s="106"/>
      <c r="AF308" s="106"/>
      <c r="AG308" s="106"/>
      <c r="AH308" s="106"/>
      <c r="AI308" s="106"/>
      <c r="AJ308" s="106"/>
    </row>
    <row r="309" spans="1:36" s="99" customFormat="1">
      <c r="A309" s="77">
        <f>IF(F309&lt;&gt;"",1+MAX($A$2:A308),"")</f>
        <v>261</v>
      </c>
      <c r="B309" s="56"/>
      <c r="C309" s="107"/>
      <c r="D309" s="57" t="s">
        <v>303</v>
      </c>
      <c r="E309" s="81">
        <v>5</v>
      </c>
      <c r="F309" s="108">
        <v>0</v>
      </c>
      <c r="G309" s="109">
        <f t="shared" si="188"/>
        <v>5</v>
      </c>
      <c r="H309" s="79" t="s">
        <v>43</v>
      </c>
      <c r="I309" s="71">
        <v>0.3</v>
      </c>
      <c r="J309" s="72">
        <f t="shared" si="189"/>
        <v>1.5</v>
      </c>
      <c r="K309" s="73">
        <f>'LABOR SHEET'!C$3</f>
        <v>46.5</v>
      </c>
      <c r="L309" s="74">
        <f t="shared" si="190"/>
        <v>13.95</v>
      </c>
      <c r="M309" s="74">
        <f t="shared" si="191"/>
        <v>69.75</v>
      </c>
      <c r="N309" s="74">
        <v>30</v>
      </c>
      <c r="O309" s="74">
        <f t="shared" si="192"/>
        <v>150</v>
      </c>
      <c r="P309" s="74">
        <f t="shared" si="193"/>
        <v>43.95</v>
      </c>
      <c r="Q309" s="58">
        <f t="shared" si="194"/>
        <v>219.75</v>
      </c>
      <c r="R309" s="106"/>
      <c r="S309" s="106"/>
      <c r="T309" s="106"/>
      <c r="U309" s="106"/>
      <c r="V309" s="106"/>
      <c r="W309" s="106"/>
      <c r="X309" s="106"/>
      <c r="Y309" s="106"/>
      <c r="Z309" s="106"/>
      <c r="AA309" s="106"/>
      <c r="AB309" s="106"/>
      <c r="AC309" s="106"/>
      <c r="AD309" s="106"/>
      <c r="AE309" s="106"/>
      <c r="AF309" s="106"/>
      <c r="AG309" s="106"/>
      <c r="AH309" s="106"/>
      <c r="AI309" s="106"/>
      <c r="AJ309" s="106"/>
    </row>
    <row r="310" spans="1:36" s="99" customFormat="1">
      <c r="A310" s="65">
        <f>IF(F310&lt;&gt;"",1+MAX($A$2:A309),"")</f>
        <v>262</v>
      </c>
      <c r="B310" s="56"/>
      <c r="C310" s="107"/>
      <c r="D310" s="57" t="s">
        <v>304</v>
      </c>
      <c r="E310" s="81">
        <v>5</v>
      </c>
      <c r="F310" s="108">
        <v>0</v>
      </c>
      <c r="G310" s="109">
        <f t="shared" si="188"/>
        <v>5</v>
      </c>
      <c r="H310" s="79" t="s">
        <v>43</v>
      </c>
      <c r="I310" s="71">
        <v>0.72</v>
      </c>
      <c r="J310" s="72">
        <f t="shared" si="189"/>
        <v>3.5999999999999996</v>
      </c>
      <c r="K310" s="73">
        <f>'LABOR SHEET'!C$3</f>
        <v>46.5</v>
      </c>
      <c r="L310" s="74">
        <f t="shared" si="190"/>
        <v>33.479999999999997</v>
      </c>
      <c r="M310" s="74">
        <f t="shared" si="191"/>
        <v>167.39999999999998</v>
      </c>
      <c r="N310" s="74">
        <v>42</v>
      </c>
      <c r="O310" s="74">
        <f t="shared" si="192"/>
        <v>210</v>
      </c>
      <c r="P310" s="74">
        <f t="shared" si="193"/>
        <v>75.47999999999999</v>
      </c>
      <c r="Q310" s="58">
        <f t="shared" si="194"/>
        <v>377.4</v>
      </c>
      <c r="R310" s="106"/>
      <c r="S310" s="106"/>
      <c r="T310" s="106"/>
      <c r="U310" s="106"/>
      <c r="V310" s="106"/>
      <c r="W310" s="106"/>
      <c r="X310" s="106"/>
      <c r="Y310" s="106"/>
      <c r="Z310" s="106"/>
      <c r="AA310" s="106"/>
      <c r="AB310" s="106"/>
      <c r="AC310" s="106"/>
      <c r="AD310" s="106"/>
      <c r="AE310" s="106"/>
      <c r="AF310" s="106"/>
      <c r="AG310" s="106"/>
      <c r="AH310" s="106"/>
      <c r="AI310" s="106"/>
      <c r="AJ310" s="106"/>
    </row>
    <row r="311" spans="1:36" s="99" customFormat="1">
      <c r="A311" s="77">
        <f>IF(F311&lt;&gt;"",1+MAX($A$2:A310),"")</f>
        <v>263</v>
      </c>
      <c r="B311" s="56"/>
      <c r="C311" s="107"/>
      <c r="D311" s="57" t="s">
        <v>305</v>
      </c>
      <c r="E311" s="81">
        <v>5</v>
      </c>
      <c r="F311" s="108">
        <v>0</v>
      </c>
      <c r="G311" s="109">
        <f t="shared" si="188"/>
        <v>5</v>
      </c>
      <c r="H311" s="79" t="s">
        <v>43</v>
      </c>
      <c r="I311" s="71">
        <v>0.42</v>
      </c>
      <c r="J311" s="72">
        <f t="shared" si="189"/>
        <v>2.1</v>
      </c>
      <c r="K311" s="73">
        <f>'LABOR SHEET'!C$3</f>
        <v>46.5</v>
      </c>
      <c r="L311" s="74">
        <f t="shared" si="190"/>
        <v>19.529999999999998</v>
      </c>
      <c r="M311" s="74">
        <f t="shared" si="191"/>
        <v>97.65</v>
      </c>
      <c r="N311" s="74">
        <v>65</v>
      </c>
      <c r="O311" s="74">
        <f t="shared" si="192"/>
        <v>325</v>
      </c>
      <c r="P311" s="74">
        <f t="shared" si="193"/>
        <v>84.53</v>
      </c>
      <c r="Q311" s="58">
        <f t="shared" si="194"/>
        <v>422.65</v>
      </c>
      <c r="R311" s="106"/>
      <c r="S311" s="106"/>
      <c r="T311" s="106"/>
      <c r="U311" s="106"/>
      <c r="V311" s="106"/>
      <c r="W311" s="106"/>
      <c r="X311" s="106"/>
      <c r="Y311" s="106"/>
      <c r="Z311" s="106"/>
      <c r="AA311" s="106"/>
      <c r="AB311" s="106"/>
      <c r="AC311" s="106"/>
      <c r="AD311" s="106"/>
      <c r="AE311" s="106"/>
      <c r="AF311" s="106"/>
      <c r="AG311" s="106"/>
      <c r="AH311" s="106"/>
      <c r="AI311" s="106"/>
      <c r="AJ311" s="106"/>
    </row>
    <row r="312" spans="1:36" s="99" customFormat="1">
      <c r="A312" s="65" t="str">
        <f>IF(F312&lt;&gt;"",1+MAX($A$2:A311),"")</f>
        <v/>
      </c>
      <c r="B312" s="56"/>
      <c r="C312" s="107"/>
      <c r="D312" s="57"/>
      <c r="E312" s="81"/>
      <c r="F312" s="108"/>
      <c r="G312" s="109"/>
      <c r="H312" s="79"/>
      <c r="I312" s="71"/>
      <c r="J312" s="72"/>
      <c r="K312" s="73"/>
      <c r="L312" s="74"/>
      <c r="M312" s="74"/>
      <c r="N312" s="74"/>
      <c r="O312" s="74"/>
      <c r="P312" s="74"/>
      <c r="Q312" s="58"/>
      <c r="R312" s="106"/>
      <c r="S312" s="106"/>
      <c r="T312" s="106"/>
      <c r="U312" s="106"/>
      <c r="V312" s="106"/>
      <c r="W312" s="106"/>
      <c r="X312" s="106"/>
      <c r="Y312" s="106"/>
      <c r="Z312" s="106"/>
      <c r="AA312" s="106"/>
      <c r="AB312" s="106"/>
      <c r="AC312" s="106"/>
      <c r="AD312" s="106"/>
      <c r="AE312" s="106"/>
      <c r="AF312" s="106"/>
      <c r="AG312" s="106"/>
      <c r="AH312" s="106"/>
      <c r="AI312" s="106"/>
      <c r="AJ312" s="106"/>
    </row>
    <row r="313" spans="1:36" s="99" customFormat="1">
      <c r="A313" s="77" t="str">
        <f>IF(F313&lt;&gt;"",1+MAX($A$2:A312),"")</f>
        <v/>
      </c>
      <c r="B313" s="55"/>
      <c r="C313" s="81"/>
      <c r="D313" s="101" t="s">
        <v>306</v>
      </c>
      <c r="E313" s="79"/>
      <c r="F313" s="79"/>
      <c r="G313" s="79"/>
      <c r="H313" s="79"/>
      <c r="I313" s="102"/>
      <c r="J313" s="103"/>
      <c r="K313" s="104"/>
      <c r="L313" s="74"/>
      <c r="M313" s="74"/>
      <c r="N313" s="74"/>
      <c r="O313" s="74"/>
      <c r="P313" s="74"/>
      <c r="Q313" s="105"/>
      <c r="R313" s="106"/>
      <c r="S313" s="106"/>
      <c r="T313" s="106"/>
      <c r="U313" s="106"/>
      <c r="V313" s="106"/>
      <c r="W313" s="106"/>
      <c r="X313" s="106"/>
      <c r="Y313" s="106"/>
      <c r="Z313" s="106"/>
      <c r="AA313" s="106"/>
      <c r="AB313" s="106"/>
      <c r="AC313" s="106"/>
      <c r="AD313" s="106"/>
      <c r="AE313" s="106"/>
      <c r="AF313" s="106"/>
      <c r="AG313" s="106"/>
      <c r="AH313" s="106"/>
      <c r="AI313" s="106"/>
      <c r="AJ313" s="106"/>
    </row>
    <row r="314" spans="1:36" s="99" customFormat="1" ht="31.2">
      <c r="A314" s="65" t="str">
        <f>IF(F314&lt;&gt;"",1+MAX($A$2:A313),"")</f>
        <v/>
      </c>
      <c r="B314" s="56"/>
      <c r="C314" s="107"/>
      <c r="D314" s="59" t="s">
        <v>307</v>
      </c>
      <c r="E314" s="81"/>
      <c r="F314" s="108"/>
      <c r="G314" s="109"/>
      <c r="H314" s="79"/>
      <c r="I314" s="71"/>
      <c r="J314" s="72"/>
      <c r="K314" s="73"/>
      <c r="L314" s="74"/>
      <c r="M314" s="74"/>
      <c r="N314" s="74"/>
      <c r="O314" s="74"/>
      <c r="P314" s="74"/>
      <c r="Q314" s="58"/>
      <c r="R314" s="106"/>
      <c r="S314" s="106"/>
      <c r="T314" s="106"/>
      <c r="U314" s="106"/>
      <c r="V314" s="106"/>
      <c r="W314" s="106"/>
      <c r="X314" s="106"/>
      <c r="Y314" s="106"/>
      <c r="Z314" s="106"/>
      <c r="AA314" s="106"/>
      <c r="AB314" s="106"/>
      <c r="AC314" s="106"/>
      <c r="AD314" s="106"/>
      <c r="AE314" s="106"/>
      <c r="AF314" s="106"/>
      <c r="AG314" s="106"/>
      <c r="AH314" s="106"/>
      <c r="AI314" s="106"/>
      <c r="AJ314" s="106"/>
    </row>
    <row r="315" spans="1:36" s="99" customFormat="1">
      <c r="A315" s="77">
        <f>IF(F315&lt;&gt;"",1+MAX($A$2:A314),"")</f>
        <v>264</v>
      </c>
      <c r="B315" s="56"/>
      <c r="C315" s="107"/>
      <c r="D315" s="57" t="s">
        <v>308</v>
      </c>
      <c r="E315" s="81">
        <v>180</v>
      </c>
      <c r="F315" s="108">
        <v>0.05</v>
      </c>
      <c r="G315" s="109">
        <f t="shared" ref="G315:G318" si="195">E315*(1+F315)</f>
        <v>189</v>
      </c>
      <c r="H315" s="79" t="s">
        <v>99</v>
      </c>
      <c r="I315" s="71">
        <v>8.5999999999999993E-2</v>
      </c>
      <c r="J315" s="72">
        <f t="shared" ref="J315:J318" si="196">+I315*G315</f>
        <v>16.253999999999998</v>
      </c>
      <c r="K315" s="73">
        <f>'LABOR SHEET'!C$3</f>
        <v>46.5</v>
      </c>
      <c r="L315" s="74">
        <f t="shared" ref="L315:L318" si="197">I315*K315</f>
        <v>3.9989999999999997</v>
      </c>
      <c r="M315" s="74">
        <f t="shared" ref="M315:M318" si="198">K315*J315</f>
        <v>755.81099999999992</v>
      </c>
      <c r="N315" s="74">
        <v>2.5</v>
      </c>
      <c r="O315" s="74">
        <f t="shared" ref="O315:O318" si="199">N315*G315</f>
        <v>472.5</v>
      </c>
      <c r="P315" s="74">
        <f t="shared" ref="P315:P318" si="200">(I315*K315)+N315</f>
        <v>6.4989999999999997</v>
      </c>
      <c r="Q315" s="58">
        <f t="shared" ref="Q315:Q318" si="201">P315*G315</f>
        <v>1228.3109999999999</v>
      </c>
      <c r="R315" s="106"/>
      <c r="S315" s="106"/>
      <c r="T315" s="106"/>
      <c r="U315" s="106"/>
      <c r="V315" s="106"/>
      <c r="W315" s="106"/>
      <c r="X315" s="106"/>
      <c r="Y315" s="106"/>
      <c r="Z315" s="106"/>
      <c r="AA315" s="106"/>
      <c r="AB315" s="106"/>
      <c r="AC315" s="106"/>
      <c r="AD315" s="106"/>
      <c r="AE315" s="106"/>
      <c r="AF315" s="106"/>
      <c r="AG315" s="106"/>
      <c r="AH315" s="106"/>
      <c r="AI315" s="106"/>
      <c r="AJ315" s="106"/>
    </row>
    <row r="316" spans="1:36" s="99" customFormat="1">
      <c r="A316" s="65">
        <f>IF(F316&lt;&gt;"",1+MAX($A$2:A315),"")</f>
        <v>265</v>
      </c>
      <c r="B316" s="56"/>
      <c r="C316" s="107"/>
      <c r="D316" s="57" t="s">
        <v>309</v>
      </c>
      <c r="E316" s="81">
        <v>110</v>
      </c>
      <c r="F316" s="108">
        <v>0.05</v>
      </c>
      <c r="G316" s="109">
        <f t="shared" si="195"/>
        <v>115.5</v>
      </c>
      <c r="H316" s="79" t="s">
        <v>99</v>
      </c>
      <c r="I316" s="71">
        <v>0.1</v>
      </c>
      <c r="J316" s="72">
        <f t="shared" si="196"/>
        <v>11.55</v>
      </c>
      <c r="K316" s="73">
        <f>'LABOR SHEET'!C$3</f>
        <v>46.5</v>
      </c>
      <c r="L316" s="74">
        <f t="shared" si="197"/>
        <v>4.6500000000000004</v>
      </c>
      <c r="M316" s="74">
        <f t="shared" si="198"/>
        <v>537.07500000000005</v>
      </c>
      <c r="N316" s="74">
        <v>4</v>
      </c>
      <c r="O316" s="74">
        <f t="shared" si="199"/>
        <v>462</v>
      </c>
      <c r="P316" s="74">
        <f t="shared" si="200"/>
        <v>8.65</v>
      </c>
      <c r="Q316" s="58">
        <f t="shared" si="201"/>
        <v>999.07500000000005</v>
      </c>
      <c r="R316" s="106"/>
      <c r="S316" s="106"/>
      <c r="T316" s="106"/>
      <c r="U316" s="106"/>
      <c r="V316" s="106"/>
      <c r="W316" s="106"/>
      <c r="X316" s="106"/>
      <c r="Y316" s="106"/>
      <c r="Z316" s="106"/>
      <c r="AA316" s="106"/>
      <c r="AB316" s="106"/>
      <c r="AC316" s="106"/>
      <c r="AD316" s="106"/>
      <c r="AE316" s="106"/>
      <c r="AF316" s="106"/>
      <c r="AG316" s="106"/>
      <c r="AH316" s="106"/>
      <c r="AI316" s="106"/>
      <c r="AJ316" s="106"/>
    </row>
    <row r="317" spans="1:36" s="99" customFormat="1">
      <c r="A317" s="77">
        <f>IF(F317&lt;&gt;"",1+MAX($A$2:A316),"")</f>
        <v>266</v>
      </c>
      <c r="B317" s="56"/>
      <c r="C317" s="107"/>
      <c r="D317" s="57" t="s">
        <v>310</v>
      </c>
      <c r="E317" s="81">
        <v>30</v>
      </c>
      <c r="F317" s="108">
        <v>0.05</v>
      </c>
      <c r="G317" s="109">
        <f t="shared" si="195"/>
        <v>31.5</v>
      </c>
      <c r="H317" s="79" t="s">
        <v>99</v>
      </c>
      <c r="I317" s="71">
        <v>0.12</v>
      </c>
      <c r="J317" s="72">
        <f t="shared" si="196"/>
        <v>3.78</v>
      </c>
      <c r="K317" s="73">
        <f>'LABOR SHEET'!C$3</f>
        <v>46.5</v>
      </c>
      <c r="L317" s="74">
        <f t="shared" si="197"/>
        <v>5.58</v>
      </c>
      <c r="M317" s="74">
        <f t="shared" si="198"/>
        <v>175.76999999999998</v>
      </c>
      <c r="N317" s="74">
        <v>5</v>
      </c>
      <c r="O317" s="74">
        <f t="shared" si="199"/>
        <v>157.5</v>
      </c>
      <c r="P317" s="74">
        <f t="shared" si="200"/>
        <v>10.58</v>
      </c>
      <c r="Q317" s="58">
        <f t="shared" si="201"/>
        <v>333.27</v>
      </c>
      <c r="R317" s="106"/>
      <c r="S317" s="106"/>
      <c r="T317" s="106"/>
      <c r="U317" s="106"/>
      <c r="V317" s="106"/>
      <c r="W317" s="106"/>
      <c r="X317" s="106"/>
      <c r="Y317" s="106"/>
      <c r="Z317" s="106"/>
      <c r="AA317" s="106"/>
      <c r="AB317" s="106"/>
      <c r="AC317" s="106"/>
      <c r="AD317" s="106"/>
      <c r="AE317" s="106"/>
      <c r="AF317" s="106"/>
      <c r="AG317" s="106"/>
      <c r="AH317" s="106"/>
      <c r="AI317" s="106"/>
      <c r="AJ317" s="106"/>
    </row>
    <row r="318" spans="1:36" s="99" customFormat="1">
      <c r="A318" s="65">
        <f>IF(F318&lt;&gt;"",1+MAX($A$2:A317),"")</f>
        <v>267</v>
      </c>
      <c r="B318" s="56"/>
      <c r="C318" s="107"/>
      <c r="D318" s="57" t="s">
        <v>311</v>
      </c>
      <c r="E318" s="81">
        <v>40</v>
      </c>
      <c r="F318" s="108">
        <v>0.05</v>
      </c>
      <c r="G318" s="109">
        <f t="shared" si="195"/>
        <v>42</v>
      </c>
      <c r="H318" s="79" t="s">
        <v>99</v>
      </c>
      <c r="I318" s="71">
        <v>0.2</v>
      </c>
      <c r="J318" s="72">
        <f t="shared" si="196"/>
        <v>8.4</v>
      </c>
      <c r="K318" s="73">
        <f>'LABOR SHEET'!C$3</f>
        <v>46.5</v>
      </c>
      <c r="L318" s="74">
        <f t="shared" si="197"/>
        <v>9.3000000000000007</v>
      </c>
      <c r="M318" s="74">
        <f t="shared" si="198"/>
        <v>390.6</v>
      </c>
      <c r="N318" s="74">
        <v>6</v>
      </c>
      <c r="O318" s="74">
        <f t="shared" si="199"/>
        <v>252</v>
      </c>
      <c r="P318" s="74">
        <f t="shared" si="200"/>
        <v>15.3</v>
      </c>
      <c r="Q318" s="58">
        <f t="shared" si="201"/>
        <v>642.6</v>
      </c>
      <c r="R318" s="106"/>
      <c r="S318" s="106"/>
      <c r="T318" s="106"/>
      <c r="U318" s="106"/>
      <c r="V318" s="106"/>
      <c r="W318" s="106"/>
      <c r="X318" s="106"/>
      <c r="Y318" s="106"/>
      <c r="Z318" s="106"/>
      <c r="AA318" s="106"/>
      <c r="AB318" s="106"/>
      <c r="AC318" s="106"/>
      <c r="AD318" s="106"/>
      <c r="AE318" s="106"/>
      <c r="AF318" s="106"/>
      <c r="AG318" s="106"/>
      <c r="AH318" s="106"/>
      <c r="AI318" s="106"/>
      <c r="AJ318" s="106"/>
    </row>
    <row r="319" spans="1:36" s="99" customFormat="1">
      <c r="A319" s="77" t="str">
        <f>IF(F319&lt;&gt;"",1+MAX($A$2:A318),"")</f>
        <v/>
      </c>
      <c r="B319" s="56"/>
      <c r="C319" s="107"/>
      <c r="D319" s="57"/>
      <c r="E319" s="81"/>
      <c r="F319" s="108"/>
      <c r="G319" s="109"/>
      <c r="H319" s="79"/>
      <c r="I319" s="71"/>
      <c r="J319" s="72"/>
      <c r="K319" s="73"/>
      <c r="L319" s="74"/>
      <c r="M319" s="74"/>
      <c r="N319" s="74"/>
      <c r="O319" s="74"/>
      <c r="P319" s="74"/>
      <c r="Q319" s="58"/>
      <c r="R319" s="106"/>
      <c r="S319" s="106"/>
      <c r="T319" s="106"/>
      <c r="U319" s="106"/>
      <c r="V319" s="106"/>
      <c r="W319" s="106"/>
      <c r="X319" s="106"/>
      <c r="Y319" s="106"/>
      <c r="Z319" s="106"/>
      <c r="AA319" s="106"/>
      <c r="AB319" s="106"/>
      <c r="AC319" s="106"/>
      <c r="AD319" s="106"/>
      <c r="AE319" s="106"/>
      <c r="AF319" s="106"/>
      <c r="AG319" s="106"/>
      <c r="AH319" s="106"/>
      <c r="AI319" s="106"/>
      <c r="AJ319" s="106"/>
    </row>
    <row r="320" spans="1:36" s="99" customFormat="1">
      <c r="A320" s="65" t="str">
        <f>IF(F320&lt;&gt;"",1+MAX($A$2:A319),"")</f>
        <v/>
      </c>
      <c r="B320" s="55"/>
      <c r="C320" s="81"/>
      <c r="D320" s="101" t="s">
        <v>312</v>
      </c>
      <c r="E320" s="79"/>
      <c r="F320" s="79"/>
      <c r="G320" s="79"/>
      <c r="H320" s="79"/>
      <c r="I320" s="102"/>
      <c r="J320" s="103"/>
      <c r="K320" s="104"/>
      <c r="L320" s="74"/>
      <c r="M320" s="74"/>
      <c r="N320" s="74"/>
      <c r="O320" s="74"/>
      <c r="P320" s="74"/>
      <c r="Q320" s="105"/>
      <c r="R320" s="106"/>
      <c r="S320" s="106"/>
      <c r="T320" s="106"/>
      <c r="U320" s="106"/>
      <c r="V320" s="106"/>
      <c r="W320" s="106"/>
      <c r="X320" s="106"/>
      <c r="Y320" s="106"/>
      <c r="Z320" s="106"/>
      <c r="AA320" s="106"/>
      <c r="AB320" s="106"/>
      <c r="AC320" s="106"/>
      <c r="AD320" s="106"/>
      <c r="AE320" s="106"/>
      <c r="AF320" s="106"/>
      <c r="AG320" s="106"/>
      <c r="AH320" s="106"/>
      <c r="AI320" s="106"/>
      <c r="AJ320" s="106"/>
    </row>
    <row r="321" spans="1:36" s="99" customFormat="1">
      <c r="A321" s="77" t="str">
        <f>IF(F321&lt;&gt;"",1+MAX($A$2:A320),"")</f>
        <v/>
      </c>
      <c r="B321" s="56"/>
      <c r="C321" s="107"/>
      <c r="D321" s="59" t="s">
        <v>313</v>
      </c>
      <c r="E321" s="81"/>
      <c r="F321" s="108"/>
      <c r="G321" s="109"/>
      <c r="H321" s="79"/>
      <c r="I321" s="71"/>
      <c r="J321" s="72"/>
      <c r="K321" s="73"/>
      <c r="L321" s="74"/>
      <c r="M321" s="74"/>
      <c r="N321" s="74"/>
      <c r="O321" s="74"/>
      <c r="P321" s="74"/>
      <c r="Q321" s="58"/>
      <c r="R321" s="106"/>
      <c r="S321" s="106"/>
      <c r="T321" s="106"/>
      <c r="U321" s="106"/>
      <c r="V321" s="106"/>
      <c r="W321" s="106"/>
      <c r="X321" s="106"/>
      <c r="Y321" s="106"/>
      <c r="Z321" s="106"/>
      <c r="AA321" s="106"/>
      <c r="AB321" s="106"/>
      <c r="AC321" s="106"/>
      <c r="AD321" s="106"/>
      <c r="AE321" s="106"/>
      <c r="AF321" s="106"/>
      <c r="AG321" s="106"/>
      <c r="AH321" s="106"/>
      <c r="AI321" s="106"/>
      <c r="AJ321" s="106"/>
    </row>
    <row r="322" spans="1:36" s="99" customFormat="1">
      <c r="A322" s="65">
        <f>IF(F322&lt;&gt;"",1+MAX($A$2:A321),"")</f>
        <v>268</v>
      </c>
      <c r="B322" s="56"/>
      <c r="C322" s="107"/>
      <c r="D322" s="57" t="s">
        <v>308</v>
      </c>
      <c r="E322" s="81">
        <v>180</v>
      </c>
      <c r="F322" s="108">
        <v>0.05</v>
      </c>
      <c r="G322" s="109">
        <f t="shared" ref="G322:G324" si="202">E322*(1+F322)</f>
        <v>189</v>
      </c>
      <c r="H322" s="79" t="s">
        <v>99</v>
      </c>
      <c r="I322" s="71">
        <v>0.04</v>
      </c>
      <c r="J322" s="72">
        <f t="shared" ref="J322:J325" si="203">+I322*G322</f>
        <v>7.5600000000000005</v>
      </c>
      <c r="K322" s="73">
        <f>'LABOR SHEET'!C$3</f>
        <v>46.5</v>
      </c>
      <c r="L322" s="74">
        <f t="shared" ref="L322:L325" si="204">I322*K322</f>
        <v>1.86</v>
      </c>
      <c r="M322" s="74">
        <f t="shared" ref="M322:M325" si="205">K322*J322</f>
        <v>351.54</v>
      </c>
      <c r="N322" s="74">
        <v>1.5</v>
      </c>
      <c r="O322" s="74">
        <f t="shared" ref="O322:O325" si="206">N322*G322</f>
        <v>283.5</v>
      </c>
      <c r="P322" s="74">
        <f t="shared" ref="P322:P325" si="207">(I322*K322)+N322</f>
        <v>3.3600000000000003</v>
      </c>
      <c r="Q322" s="58">
        <f t="shared" ref="Q322:Q325" si="208">P322*G322</f>
        <v>635.04000000000008</v>
      </c>
      <c r="R322" s="106"/>
      <c r="S322" s="106"/>
      <c r="T322" s="106"/>
      <c r="U322" s="106"/>
      <c r="V322" s="106"/>
      <c r="W322" s="106"/>
      <c r="X322" s="106"/>
      <c r="Y322" s="106"/>
      <c r="Z322" s="106"/>
      <c r="AA322" s="106"/>
      <c r="AB322" s="106"/>
      <c r="AC322" s="106"/>
      <c r="AD322" s="106"/>
      <c r="AE322" s="106"/>
      <c r="AF322" s="106"/>
      <c r="AG322" s="106"/>
      <c r="AH322" s="106"/>
      <c r="AI322" s="106"/>
      <c r="AJ322" s="106"/>
    </row>
    <row r="323" spans="1:36" s="99" customFormat="1">
      <c r="A323" s="77">
        <f>IF(F323&lt;&gt;"",1+MAX($A$2:A322),"")</f>
        <v>269</v>
      </c>
      <c r="B323" s="56"/>
      <c r="C323" s="107"/>
      <c r="D323" s="57" t="s">
        <v>309</v>
      </c>
      <c r="E323" s="81">
        <v>110</v>
      </c>
      <c r="F323" s="108">
        <v>0.05</v>
      </c>
      <c r="G323" s="109">
        <f t="shared" si="202"/>
        <v>115.5</v>
      </c>
      <c r="H323" s="79" t="s">
        <v>99</v>
      </c>
      <c r="I323" s="71">
        <v>0.06</v>
      </c>
      <c r="J323" s="72">
        <f t="shared" si="203"/>
        <v>6.93</v>
      </c>
      <c r="K323" s="73">
        <f>'LABOR SHEET'!C$3</f>
        <v>46.5</v>
      </c>
      <c r="L323" s="74">
        <f t="shared" si="204"/>
        <v>2.79</v>
      </c>
      <c r="M323" s="74">
        <f t="shared" si="205"/>
        <v>322.245</v>
      </c>
      <c r="N323" s="74">
        <v>2.5</v>
      </c>
      <c r="O323" s="74">
        <f t="shared" si="206"/>
        <v>288.75</v>
      </c>
      <c r="P323" s="74">
        <f t="shared" si="207"/>
        <v>5.29</v>
      </c>
      <c r="Q323" s="58">
        <f t="shared" si="208"/>
        <v>610.995</v>
      </c>
      <c r="R323" s="106"/>
      <c r="S323" s="106"/>
      <c r="T323" s="106"/>
      <c r="U323" s="106"/>
      <c r="V323" s="106"/>
      <c r="W323" s="106"/>
      <c r="X323" s="106"/>
      <c r="Y323" s="106"/>
      <c r="Z323" s="106"/>
      <c r="AA323" s="106"/>
      <c r="AB323" s="106"/>
      <c r="AC323" s="106"/>
      <c r="AD323" s="106"/>
      <c r="AE323" s="106"/>
      <c r="AF323" s="106"/>
      <c r="AG323" s="106"/>
      <c r="AH323" s="106"/>
      <c r="AI323" s="106"/>
      <c r="AJ323" s="106"/>
    </row>
    <row r="324" spans="1:36" s="99" customFormat="1">
      <c r="A324" s="65">
        <f>IF(F324&lt;&gt;"",1+MAX($A$2:A323),"")</f>
        <v>270</v>
      </c>
      <c r="B324" s="56"/>
      <c r="C324" s="107"/>
      <c r="D324" s="57" t="s">
        <v>310</v>
      </c>
      <c r="E324" s="81">
        <v>30</v>
      </c>
      <c r="F324" s="108">
        <v>0.05</v>
      </c>
      <c r="G324" s="109">
        <f t="shared" si="202"/>
        <v>31.5</v>
      </c>
      <c r="H324" s="79" t="s">
        <v>99</v>
      </c>
      <c r="I324" s="71">
        <v>6.5000000000000002E-2</v>
      </c>
      <c r="J324" s="72">
        <f t="shared" si="203"/>
        <v>2.0474999999999999</v>
      </c>
      <c r="K324" s="73">
        <f>'LABOR SHEET'!C$3</f>
        <v>46.5</v>
      </c>
      <c r="L324" s="74">
        <f t="shared" si="204"/>
        <v>3.0225</v>
      </c>
      <c r="M324" s="74">
        <f t="shared" si="205"/>
        <v>95.208749999999995</v>
      </c>
      <c r="N324" s="74">
        <v>3</v>
      </c>
      <c r="O324" s="74">
        <f t="shared" si="206"/>
        <v>94.5</v>
      </c>
      <c r="P324" s="74">
        <f t="shared" si="207"/>
        <v>6.0225</v>
      </c>
      <c r="Q324" s="58">
        <f t="shared" si="208"/>
        <v>189.70875000000001</v>
      </c>
      <c r="R324" s="106"/>
      <c r="S324" s="106"/>
      <c r="T324" s="106"/>
      <c r="U324" s="106"/>
      <c r="V324" s="106"/>
      <c r="W324" s="106"/>
      <c r="X324" s="106"/>
      <c r="Y324" s="106"/>
      <c r="Z324" s="106"/>
      <c r="AA324" s="106"/>
      <c r="AB324" s="106"/>
      <c r="AC324" s="106"/>
      <c r="AD324" s="106"/>
      <c r="AE324" s="106"/>
      <c r="AF324" s="106"/>
      <c r="AG324" s="106"/>
      <c r="AH324" s="106"/>
      <c r="AI324" s="106"/>
      <c r="AJ324" s="106"/>
    </row>
    <row r="325" spans="1:36" s="99" customFormat="1">
      <c r="A325" s="77">
        <f>IF(F325&lt;&gt;"",1+MAX($A$2:A324),"")</f>
        <v>271</v>
      </c>
      <c r="B325" s="56"/>
      <c r="C325" s="107"/>
      <c r="D325" s="57" t="s">
        <v>311</v>
      </c>
      <c r="E325" s="81">
        <v>40</v>
      </c>
      <c r="F325" s="108">
        <v>0.05</v>
      </c>
      <c r="G325" s="109">
        <f t="shared" ref="G325:G331" si="209">E325*(1+F325)</f>
        <v>42</v>
      </c>
      <c r="H325" s="79" t="s">
        <v>99</v>
      </c>
      <c r="I325" s="71">
        <v>0.08</v>
      </c>
      <c r="J325" s="72">
        <f t="shared" si="203"/>
        <v>3.36</v>
      </c>
      <c r="K325" s="73">
        <f>'LABOR SHEET'!C$3</f>
        <v>46.5</v>
      </c>
      <c r="L325" s="74">
        <f t="shared" si="204"/>
        <v>3.72</v>
      </c>
      <c r="M325" s="74">
        <f t="shared" si="205"/>
        <v>156.23999999999998</v>
      </c>
      <c r="N325" s="74">
        <v>3.5</v>
      </c>
      <c r="O325" s="74">
        <f t="shared" si="206"/>
        <v>147</v>
      </c>
      <c r="P325" s="74">
        <f t="shared" si="207"/>
        <v>7.2200000000000006</v>
      </c>
      <c r="Q325" s="58">
        <f t="shared" si="208"/>
        <v>303.24</v>
      </c>
      <c r="R325" s="106"/>
      <c r="S325" s="106"/>
      <c r="T325" s="106"/>
      <c r="U325" s="106"/>
      <c r="V325" s="106"/>
      <c r="W325" s="106"/>
      <c r="X325" s="106"/>
      <c r="Y325" s="106"/>
      <c r="Z325" s="106"/>
      <c r="AA325" s="106"/>
      <c r="AB325" s="106"/>
      <c r="AC325" s="106"/>
      <c r="AD325" s="106"/>
      <c r="AE325" s="106"/>
      <c r="AF325" s="106"/>
      <c r="AG325" s="106"/>
      <c r="AH325" s="106"/>
      <c r="AI325" s="106"/>
      <c r="AJ325" s="106"/>
    </row>
    <row r="326" spans="1:36" s="99" customFormat="1">
      <c r="A326" s="65" t="str">
        <f>IF(F326&lt;&gt;"",1+MAX($A$2:A325),"")</f>
        <v/>
      </c>
      <c r="B326" s="56"/>
      <c r="C326" s="107"/>
      <c r="D326" s="57"/>
      <c r="E326" s="81"/>
      <c r="F326" s="108"/>
      <c r="G326" s="109"/>
      <c r="H326" s="79"/>
      <c r="I326" s="71"/>
      <c r="J326" s="72"/>
      <c r="K326" s="73"/>
      <c r="L326" s="74"/>
      <c r="M326" s="74"/>
      <c r="N326" s="74"/>
      <c r="O326" s="74"/>
      <c r="P326" s="74"/>
      <c r="Q326" s="58"/>
      <c r="R326" s="106"/>
      <c r="S326" s="106"/>
      <c r="T326" s="106"/>
      <c r="U326" s="106"/>
      <c r="V326" s="106"/>
      <c r="W326" s="106"/>
      <c r="X326" s="106"/>
      <c r="Y326" s="106"/>
      <c r="Z326" s="106"/>
      <c r="AA326" s="106"/>
      <c r="AB326" s="106"/>
      <c r="AC326" s="106"/>
      <c r="AD326" s="106"/>
      <c r="AE326" s="106"/>
      <c r="AF326" s="106"/>
      <c r="AG326" s="106"/>
      <c r="AH326" s="106"/>
      <c r="AI326" s="106"/>
      <c r="AJ326" s="106"/>
    </row>
    <row r="327" spans="1:36" s="99" customFormat="1">
      <c r="A327" s="77" t="str">
        <f>IF(F327&lt;&gt;"",1+MAX($A$2:A326),"")</f>
        <v/>
      </c>
      <c r="B327" s="56"/>
      <c r="C327" s="107"/>
      <c r="D327" s="110" t="s">
        <v>287</v>
      </c>
      <c r="E327" s="81"/>
      <c r="F327" s="108"/>
      <c r="G327" s="109"/>
      <c r="H327" s="79"/>
      <c r="I327" s="71"/>
      <c r="J327" s="72"/>
      <c r="K327" s="73"/>
      <c r="L327" s="74"/>
      <c r="M327" s="74"/>
      <c r="N327" s="74"/>
      <c r="O327" s="74"/>
      <c r="P327" s="74"/>
      <c r="Q327" s="58"/>
      <c r="R327" s="106"/>
      <c r="S327" s="106"/>
      <c r="T327" s="106"/>
      <c r="U327" s="106"/>
      <c r="V327" s="106"/>
      <c r="W327" s="106"/>
      <c r="X327" s="106"/>
      <c r="Y327" s="106"/>
      <c r="Z327" s="106"/>
      <c r="AA327" s="106"/>
      <c r="AB327" s="106"/>
      <c r="AC327" s="106"/>
      <c r="AD327" s="106"/>
      <c r="AE327" s="106"/>
      <c r="AF327" s="106"/>
      <c r="AG327" s="106"/>
      <c r="AH327" s="106"/>
      <c r="AI327" s="106"/>
      <c r="AJ327" s="106"/>
    </row>
    <row r="328" spans="1:36" s="99" customFormat="1">
      <c r="A328" s="65">
        <f>IF(F328&lt;&gt;"",1+MAX($A$2:A327),"")</f>
        <v>272</v>
      </c>
      <c r="B328" s="56"/>
      <c r="C328" s="107"/>
      <c r="D328" s="57" t="s">
        <v>314</v>
      </c>
      <c r="E328" s="81">
        <v>12</v>
      </c>
      <c r="F328" s="108">
        <v>0</v>
      </c>
      <c r="G328" s="109">
        <f t="shared" si="209"/>
        <v>12</v>
      </c>
      <c r="H328" s="79" t="s">
        <v>43</v>
      </c>
      <c r="I328" s="71">
        <v>0.3</v>
      </c>
      <c r="J328" s="72">
        <f t="shared" ref="J328:J331" si="210">+I328*G328</f>
        <v>3.5999999999999996</v>
      </c>
      <c r="K328" s="73">
        <f>'LABOR SHEET'!C$3</f>
        <v>46.5</v>
      </c>
      <c r="L328" s="74">
        <f t="shared" ref="L328:L331" si="211">I328*K328</f>
        <v>13.95</v>
      </c>
      <c r="M328" s="74">
        <f t="shared" ref="M328:M331" si="212">K328*J328</f>
        <v>167.39999999999998</v>
      </c>
      <c r="N328" s="74">
        <v>3</v>
      </c>
      <c r="O328" s="74">
        <f t="shared" ref="O328:O331" si="213">N328*G328</f>
        <v>36</v>
      </c>
      <c r="P328" s="74">
        <f t="shared" ref="P328:P331" si="214">(I328*K328)+N328</f>
        <v>16.95</v>
      </c>
      <c r="Q328" s="58">
        <f t="shared" ref="Q328:Q331" si="215">P328*G328</f>
        <v>203.39999999999998</v>
      </c>
      <c r="R328" s="106"/>
      <c r="S328" s="106"/>
      <c r="T328" s="106"/>
      <c r="U328" s="106"/>
      <c r="V328" s="106"/>
      <c r="W328" s="106"/>
      <c r="X328" s="106"/>
      <c r="Y328" s="106"/>
      <c r="Z328" s="106"/>
      <c r="AA328" s="106"/>
      <c r="AB328" s="106"/>
      <c r="AC328" s="106"/>
      <c r="AD328" s="106"/>
      <c r="AE328" s="106"/>
      <c r="AF328" s="106"/>
      <c r="AG328" s="106"/>
      <c r="AH328" s="106"/>
      <c r="AI328" s="106"/>
      <c r="AJ328" s="106"/>
    </row>
    <row r="329" spans="1:36" s="99" customFormat="1">
      <c r="A329" s="77">
        <f>IF(F329&lt;&gt;"",1+MAX($A$2:A328),"")</f>
        <v>273</v>
      </c>
      <c r="B329" s="56"/>
      <c r="C329" s="107"/>
      <c r="D329" s="57" t="s">
        <v>315</v>
      </c>
      <c r="E329" s="81">
        <v>8</v>
      </c>
      <c r="F329" s="108">
        <v>0</v>
      </c>
      <c r="G329" s="109">
        <f t="shared" si="209"/>
        <v>8</v>
      </c>
      <c r="H329" s="79" t="s">
        <v>43</v>
      </c>
      <c r="I329" s="71">
        <v>0.35</v>
      </c>
      <c r="J329" s="72">
        <f t="shared" si="210"/>
        <v>2.8</v>
      </c>
      <c r="K329" s="73">
        <f>'LABOR SHEET'!C$3</f>
        <v>46.5</v>
      </c>
      <c r="L329" s="74">
        <f t="shared" si="211"/>
        <v>16.274999999999999</v>
      </c>
      <c r="M329" s="74">
        <f t="shared" si="212"/>
        <v>130.19999999999999</v>
      </c>
      <c r="N329" s="74">
        <v>4.5</v>
      </c>
      <c r="O329" s="74">
        <f t="shared" si="213"/>
        <v>36</v>
      </c>
      <c r="P329" s="74">
        <f t="shared" si="214"/>
        <v>20.774999999999999</v>
      </c>
      <c r="Q329" s="58">
        <f t="shared" si="215"/>
        <v>166.2</v>
      </c>
      <c r="R329" s="106"/>
      <c r="S329" s="106"/>
      <c r="T329" s="106"/>
      <c r="U329" s="106"/>
      <c r="V329" s="106"/>
      <c r="W329" s="106"/>
      <c r="X329" s="106"/>
      <c r="Y329" s="106"/>
      <c r="Z329" s="106"/>
      <c r="AA329" s="106"/>
      <c r="AB329" s="106"/>
      <c r="AC329" s="106"/>
      <c r="AD329" s="106"/>
      <c r="AE329" s="106"/>
      <c r="AF329" s="106"/>
      <c r="AG329" s="106"/>
      <c r="AH329" s="106"/>
      <c r="AI329" s="106"/>
      <c r="AJ329" s="106"/>
    </row>
    <row r="330" spans="1:36" s="99" customFormat="1">
      <c r="A330" s="65">
        <f>IF(F330&lt;&gt;"",1+MAX($A$2:A329),"")</f>
        <v>274</v>
      </c>
      <c r="B330" s="56"/>
      <c r="C330" s="107"/>
      <c r="D330" s="57" t="s">
        <v>316</v>
      </c>
      <c r="E330" s="81">
        <v>6</v>
      </c>
      <c r="F330" s="108">
        <v>0</v>
      </c>
      <c r="G330" s="109">
        <f t="shared" si="209"/>
        <v>6</v>
      </c>
      <c r="H330" s="79" t="s">
        <v>43</v>
      </c>
      <c r="I330" s="71">
        <v>0.4</v>
      </c>
      <c r="J330" s="72">
        <f t="shared" si="210"/>
        <v>2.4000000000000004</v>
      </c>
      <c r="K330" s="73">
        <f>'LABOR SHEET'!C$3</f>
        <v>46.5</v>
      </c>
      <c r="L330" s="74">
        <f t="shared" si="211"/>
        <v>18.600000000000001</v>
      </c>
      <c r="M330" s="74">
        <f t="shared" si="212"/>
        <v>111.60000000000002</v>
      </c>
      <c r="N330" s="74">
        <v>5.5</v>
      </c>
      <c r="O330" s="74">
        <f t="shared" si="213"/>
        <v>33</v>
      </c>
      <c r="P330" s="74">
        <f t="shared" si="214"/>
        <v>24.1</v>
      </c>
      <c r="Q330" s="58">
        <f t="shared" si="215"/>
        <v>144.60000000000002</v>
      </c>
      <c r="R330" s="106"/>
      <c r="S330" s="106"/>
      <c r="T330" s="106"/>
      <c r="U330" s="106"/>
      <c r="V330" s="106"/>
      <c r="W330" s="106"/>
      <c r="X330" s="106"/>
      <c r="Y330" s="106"/>
      <c r="Z330" s="106"/>
      <c r="AA330" s="106"/>
      <c r="AB330" s="106"/>
      <c r="AC330" s="106"/>
      <c r="AD330" s="106"/>
      <c r="AE330" s="106"/>
      <c r="AF330" s="106"/>
      <c r="AG330" s="106"/>
      <c r="AH330" s="106"/>
      <c r="AI330" s="106"/>
      <c r="AJ330" s="106"/>
    </row>
    <row r="331" spans="1:36" s="99" customFormat="1">
      <c r="A331" s="77">
        <f>IF(F331&lt;&gt;"",1+MAX($A$2:A330),"")</f>
        <v>275</v>
      </c>
      <c r="B331" s="56"/>
      <c r="C331" s="107"/>
      <c r="D331" s="57" t="s">
        <v>317</v>
      </c>
      <c r="E331" s="81">
        <v>4</v>
      </c>
      <c r="F331" s="108">
        <v>0</v>
      </c>
      <c r="G331" s="109">
        <f t="shared" si="209"/>
        <v>4</v>
      </c>
      <c r="H331" s="79" t="s">
        <v>43</v>
      </c>
      <c r="I331" s="71">
        <v>0.45</v>
      </c>
      <c r="J331" s="72">
        <f t="shared" si="210"/>
        <v>1.8</v>
      </c>
      <c r="K331" s="73">
        <f>'LABOR SHEET'!C$3</f>
        <v>46.5</v>
      </c>
      <c r="L331" s="74">
        <f t="shared" si="211"/>
        <v>20.925000000000001</v>
      </c>
      <c r="M331" s="74">
        <f t="shared" si="212"/>
        <v>83.7</v>
      </c>
      <c r="N331" s="74">
        <v>6</v>
      </c>
      <c r="O331" s="74">
        <f t="shared" si="213"/>
        <v>24</v>
      </c>
      <c r="P331" s="74">
        <f t="shared" si="214"/>
        <v>26.925000000000001</v>
      </c>
      <c r="Q331" s="58">
        <f t="shared" si="215"/>
        <v>107.7</v>
      </c>
      <c r="R331" s="106"/>
      <c r="S331" s="106"/>
      <c r="T331" s="106"/>
      <c r="U331" s="106"/>
      <c r="V331" s="106"/>
      <c r="W331" s="106"/>
      <c r="X331" s="106"/>
      <c r="Y331" s="106"/>
      <c r="Z331" s="106"/>
      <c r="AA331" s="106"/>
      <c r="AB331" s="106"/>
      <c r="AC331" s="106"/>
      <c r="AD331" s="106"/>
      <c r="AE331" s="106"/>
      <c r="AF331" s="106"/>
      <c r="AG331" s="106"/>
      <c r="AH331" s="106"/>
      <c r="AI331" s="106"/>
      <c r="AJ331" s="106"/>
    </row>
    <row r="332" spans="1:36" s="99" customFormat="1" ht="16.2" thickBot="1">
      <c r="A332" s="65" t="str">
        <f>IF(F332&lt;&gt;"",1+MAX($A$2:A331),"")</f>
        <v/>
      </c>
      <c r="B332" s="56"/>
      <c r="C332" s="107"/>
      <c r="D332" s="57"/>
      <c r="E332" s="81"/>
      <c r="F332" s="108"/>
      <c r="G332" s="109"/>
      <c r="H332" s="79"/>
      <c r="I332" s="71"/>
      <c r="J332" s="72"/>
      <c r="K332" s="73"/>
      <c r="L332" s="74"/>
      <c r="M332" s="74"/>
      <c r="N332" s="74"/>
      <c r="O332" s="74"/>
      <c r="P332" s="74"/>
      <c r="Q332" s="58"/>
      <c r="R332" s="106"/>
      <c r="S332" s="106"/>
      <c r="T332" s="106"/>
      <c r="U332" s="106"/>
      <c r="V332" s="106"/>
      <c r="W332" s="106"/>
      <c r="X332" s="106"/>
      <c r="Y332" s="106"/>
      <c r="Z332" s="106"/>
      <c r="AA332" s="106"/>
      <c r="AB332" s="106"/>
      <c r="AC332" s="106"/>
      <c r="AD332" s="106"/>
      <c r="AE332" s="106"/>
      <c r="AF332" s="106"/>
      <c r="AG332" s="106"/>
      <c r="AH332" s="106"/>
      <c r="AI332" s="106"/>
      <c r="AJ332" s="106"/>
    </row>
    <row r="333" spans="1:36" s="99" customFormat="1" ht="16.2" thickBot="1">
      <c r="A333" s="77" t="str">
        <f>IF(F333&lt;&gt;"",1+MAX($A$2:A332),"")</f>
        <v/>
      </c>
      <c r="B333" s="56"/>
      <c r="C333" s="111"/>
      <c r="D333" s="53" t="s">
        <v>39</v>
      </c>
      <c r="E333" s="112"/>
      <c r="F333" s="112"/>
      <c r="G333" s="113"/>
      <c r="H333" s="112"/>
      <c r="I333" s="112"/>
      <c r="J333" s="114"/>
      <c r="K333" s="114"/>
      <c r="L333" s="115"/>
      <c r="M333" s="116"/>
      <c r="N333" s="115"/>
      <c r="O333" s="115"/>
      <c r="P333" s="117"/>
      <c r="Q333" s="94">
        <f>SUM(Q18:Q332)</f>
        <v>246455.93554212511</v>
      </c>
      <c r="R333" s="193"/>
      <c r="S333" s="100"/>
    </row>
    <row r="334" spans="1:36" s="99" customFormat="1">
      <c r="A334" s="65" t="str">
        <f>IF(F334&lt;&gt;"",1+MAX($A$2:A333),"")</f>
        <v/>
      </c>
      <c r="B334" s="118"/>
      <c r="C334" s="118"/>
      <c r="D334" s="118"/>
      <c r="E334" s="118"/>
      <c r="F334" s="118"/>
      <c r="G334" s="118"/>
      <c r="H334" s="118"/>
      <c r="I334" s="118"/>
      <c r="J334" s="118"/>
      <c r="K334" s="118"/>
      <c r="L334" s="118"/>
      <c r="M334" s="118"/>
      <c r="N334" s="118"/>
      <c r="O334" s="118"/>
      <c r="P334" s="118"/>
      <c r="Q334" s="119"/>
      <c r="S334" s="100"/>
    </row>
    <row r="335" spans="1:36" s="99" customFormat="1">
      <c r="A335" s="77" t="str">
        <f>IF(F335&lt;&gt;"",1+MAX($A$2:A334),"")</f>
        <v/>
      </c>
      <c r="B335" s="118"/>
      <c r="C335" s="118"/>
      <c r="D335" s="118"/>
      <c r="E335" s="118"/>
      <c r="F335" s="118"/>
      <c r="G335" s="118"/>
      <c r="H335" s="120"/>
      <c r="I335" s="120"/>
      <c r="J335" s="120"/>
      <c r="K335" s="120"/>
      <c r="L335" s="120"/>
      <c r="M335" s="120"/>
      <c r="N335" s="120"/>
      <c r="O335" s="120"/>
      <c r="P335" s="118"/>
      <c r="Q335" s="119"/>
      <c r="S335" s="100"/>
    </row>
    <row r="336" spans="1:36" s="125" customFormat="1" ht="31.2">
      <c r="A336" s="121"/>
      <c r="B336" s="121"/>
      <c r="C336" s="121"/>
      <c r="D336" s="121"/>
      <c r="E336" s="121"/>
      <c r="F336" s="121"/>
      <c r="G336" s="121"/>
      <c r="H336" s="211" t="s">
        <v>318</v>
      </c>
      <c r="I336" s="211"/>
      <c r="J336" s="60">
        <f>SUM(J17:J335)</f>
        <v>1845.7246789999999</v>
      </c>
      <c r="K336" s="212" t="s">
        <v>25</v>
      </c>
      <c r="L336" s="212"/>
      <c r="M336" s="122">
        <f>SUM(M17:M335)</f>
        <v>85839.672573500007</v>
      </c>
      <c r="N336" s="61" t="s">
        <v>27</v>
      </c>
      <c r="O336" s="123">
        <f>SUM(O17:O335)</f>
        <v>160616.26296862497</v>
      </c>
      <c r="P336" s="121"/>
      <c r="Q336" s="124"/>
      <c r="S336" s="126"/>
    </row>
    <row r="337" spans="1:36" s="125" customFormat="1">
      <c r="A337" s="127"/>
      <c r="B337" s="128"/>
      <c r="C337" s="129"/>
      <c r="D337" s="62" t="s">
        <v>319</v>
      </c>
      <c r="E337" s="130"/>
      <c r="F337" s="130"/>
      <c r="G337" s="131"/>
      <c r="H337" s="130"/>
      <c r="I337" s="130"/>
      <c r="J337" s="130"/>
      <c r="K337" s="130"/>
      <c r="L337" s="132"/>
      <c r="M337" s="132"/>
      <c r="N337" s="132"/>
      <c r="O337" s="132"/>
      <c r="P337" s="132"/>
      <c r="Q337" s="133">
        <f>SUM(Q8:Q335)/2</f>
        <v>261455.93554212514</v>
      </c>
    </row>
    <row r="338" spans="1:36" s="125" customFormat="1">
      <c r="A338" s="127"/>
      <c r="B338" s="128"/>
      <c r="C338" s="134"/>
      <c r="D338" s="135" t="s">
        <v>320</v>
      </c>
      <c r="E338" s="136"/>
      <c r="F338" s="129"/>
      <c r="G338" s="136"/>
      <c r="H338" s="129"/>
      <c r="I338" s="129"/>
      <c r="J338" s="129"/>
      <c r="K338" s="129"/>
      <c r="L338" s="137">
        <v>0.05</v>
      </c>
      <c r="M338" s="137"/>
      <c r="N338" s="137"/>
      <c r="O338" s="137"/>
      <c r="P338" s="137"/>
      <c r="Q338" s="133">
        <f>Q337*L338</f>
        <v>13072.796777106258</v>
      </c>
      <c r="R338" s="138"/>
      <c r="S338" s="138"/>
      <c r="T338" s="138"/>
      <c r="U338" s="138"/>
      <c r="V338" s="138"/>
      <c r="W338" s="138"/>
      <c r="X338" s="138"/>
      <c r="Y338" s="138"/>
      <c r="Z338" s="138"/>
      <c r="AA338" s="138"/>
      <c r="AB338" s="138"/>
      <c r="AC338" s="138"/>
      <c r="AD338" s="138"/>
      <c r="AE338" s="138"/>
      <c r="AF338" s="138"/>
      <c r="AG338" s="138"/>
      <c r="AH338" s="138"/>
      <c r="AI338" s="138"/>
      <c r="AJ338" s="138"/>
    </row>
    <row r="339" spans="1:36" s="125" customFormat="1">
      <c r="A339" s="139"/>
      <c r="B339" s="140"/>
      <c r="C339" s="141"/>
      <c r="D339" s="142" t="s">
        <v>369</v>
      </c>
      <c r="E339" s="143"/>
      <c r="F339" s="144"/>
      <c r="G339" s="143"/>
      <c r="H339" s="144"/>
      <c r="I339" s="144"/>
      <c r="J339" s="144"/>
      <c r="K339" s="144"/>
      <c r="L339" s="145">
        <v>0.1</v>
      </c>
      <c r="M339" s="145"/>
      <c r="N339" s="145"/>
      <c r="O339" s="145"/>
      <c r="P339" s="145"/>
      <c r="Q339" s="146">
        <f>Q337*L339</f>
        <v>26145.593554212515</v>
      </c>
      <c r="R339" s="138"/>
      <c r="S339" s="138"/>
      <c r="T339" s="138"/>
      <c r="U339" s="138"/>
      <c r="V339" s="138"/>
      <c r="W339" s="138"/>
      <c r="X339" s="138"/>
      <c r="Y339" s="138"/>
      <c r="Z339" s="138"/>
      <c r="AA339" s="138"/>
      <c r="AB339" s="138"/>
      <c r="AC339" s="138"/>
      <c r="AD339" s="138"/>
      <c r="AE339" s="138"/>
      <c r="AF339" s="138"/>
      <c r="AG339" s="138"/>
      <c r="AH339" s="138"/>
      <c r="AI339" s="138"/>
      <c r="AJ339" s="138"/>
    </row>
    <row r="340" spans="1:36" s="125" customFormat="1">
      <c r="A340" s="147"/>
      <c r="B340" s="148"/>
      <c r="C340" s="149"/>
      <c r="D340" s="150" t="s">
        <v>370</v>
      </c>
      <c r="E340" s="151"/>
      <c r="F340" s="152"/>
      <c r="G340" s="151"/>
      <c r="H340" s="152"/>
      <c r="I340" s="152"/>
      <c r="J340" s="152"/>
      <c r="K340" s="152"/>
      <c r="L340" s="153">
        <v>7.2499999999999995E-2</v>
      </c>
      <c r="M340" s="153"/>
      <c r="N340" s="153"/>
      <c r="O340" s="153"/>
      <c r="P340" s="153"/>
      <c r="Q340" s="154">
        <f>O336*L340</f>
        <v>11644.679065225309</v>
      </c>
      <c r="R340" s="138"/>
      <c r="S340" s="138"/>
      <c r="T340" s="138"/>
      <c r="U340" s="138"/>
      <c r="V340" s="138"/>
      <c r="W340" s="138"/>
      <c r="X340" s="138"/>
      <c r="Y340" s="138"/>
      <c r="Z340" s="138"/>
      <c r="AA340" s="138"/>
      <c r="AB340" s="138"/>
      <c r="AC340" s="138"/>
      <c r="AD340" s="138"/>
      <c r="AE340" s="138"/>
      <c r="AF340" s="138"/>
      <c r="AG340" s="138"/>
      <c r="AH340" s="138"/>
      <c r="AI340" s="138"/>
      <c r="AJ340" s="138"/>
    </row>
    <row r="341" spans="1:36" s="125" customFormat="1">
      <c r="A341" s="147"/>
      <c r="B341" s="148"/>
      <c r="C341" s="149"/>
      <c r="D341" s="150" t="s">
        <v>8</v>
      </c>
      <c r="E341" s="151"/>
      <c r="F341" s="152"/>
      <c r="G341" s="151"/>
      <c r="H341" s="152"/>
      <c r="I341" s="152"/>
      <c r="J341" s="152"/>
      <c r="K341" s="152"/>
      <c r="L341" s="155">
        <v>1.4999999999999999E-2</v>
      </c>
      <c r="M341" s="155"/>
      <c r="N341" s="155"/>
      <c r="O341" s="155"/>
      <c r="P341" s="155"/>
      <c r="Q341" s="154">
        <f>Q337*L341</f>
        <v>3921.8390331318769</v>
      </c>
      <c r="R341" s="138"/>
      <c r="S341" s="138"/>
      <c r="T341" s="138"/>
      <c r="U341" s="138"/>
      <c r="V341" s="138"/>
      <c r="W341" s="138"/>
      <c r="X341" s="138"/>
      <c r="Y341" s="138"/>
      <c r="Z341" s="138"/>
      <c r="AA341" s="138"/>
      <c r="AB341" s="138"/>
      <c r="AC341" s="138"/>
      <c r="AD341" s="138"/>
      <c r="AE341" s="138"/>
      <c r="AF341" s="138"/>
      <c r="AG341" s="138"/>
      <c r="AH341" s="138"/>
      <c r="AI341" s="138"/>
      <c r="AJ341" s="138"/>
    </row>
    <row r="342" spans="1:36" s="125" customFormat="1" ht="16.2" thickBot="1">
      <c r="A342" s="156"/>
      <c r="B342" s="157"/>
      <c r="C342" s="158"/>
      <c r="D342" s="63" t="s">
        <v>9</v>
      </c>
      <c r="E342" s="159"/>
      <c r="F342" s="159"/>
      <c r="G342" s="160"/>
      <c r="H342" s="159"/>
      <c r="I342" s="159"/>
      <c r="J342" s="159"/>
      <c r="K342" s="159"/>
      <c r="L342" s="161"/>
      <c r="M342" s="161"/>
      <c r="N342" s="161"/>
      <c r="O342" s="161"/>
      <c r="P342" s="161"/>
      <c r="Q342" s="162">
        <f>SUM(Q337:Q341)</f>
        <v>316240.84397180111</v>
      </c>
    </row>
  </sheetData>
  <mergeCells count="7">
    <mergeCell ref="A2:Q2"/>
    <mergeCell ref="B3:C3"/>
    <mergeCell ref="B4:C4"/>
    <mergeCell ref="B5:C5"/>
    <mergeCell ref="H336:I336"/>
    <mergeCell ref="K336:L336"/>
    <mergeCell ref="Q8:Q14"/>
  </mergeCells>
  <printOptions horizontalCentered="1"/>
  <pageMargins left="0.7" right="0.7" top="0.75" bottom="0.75" header="0.3" footer="0.3"/>
  <pageSetup paperSize="9" scale="36" fitToHeight="0" orientation="portrait"/>
  <headerFooter scaleWithDoc="0"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H36"/>
  <sheetViews>
    <sheetView workbookViewId="0">
      <selection activeCell="F26" sqref="F26"/>
    </sheetView>
  </sheetViews>
  <sheetFormatPr defaultColWidth="9.09765625" defaultRowHeight="14.4"/>
  <cols>
    <col min="1" max="1" width="26.8984375" style="1" customWidth="1"/>
    <col min="2" max="2" width="19.59765625" style="2" customWidth="1"/>
    <col min="3" max="3" width="20.5" style="2" customWidth="1"/>
    <col min="4" max="16384" width="9.09765625" style="2"/>
  </cols>
  <sheetData>
    <row r="1" spans="1:3" ht="15.6">
      <c r="A1" s="3"/>
      <c r="B1" s="4" t="s">
        <v>321</v>
      </c>
      <c r="C1" s="5" t="s">
        <v>322</v>
      </c>
    </row>
    <row r="2" spans="1:3" ht="15.6">
      <c r="A2" s="6"/>
      <c r="B2" s="7"/>
      <c r="C2" s="8"/>
    </row>
    <row r="3" spans="1:3" ht="15.6">
      <c r="A3" s="9" t="s">
        <v>323</v>
      </c>
      <c r="B3" s="10" t="s">
        <v>324</v>
      </c>
      <c r="C3" s="11">
        <v>46.5</v>
      </c>
    </row>
    <row r="4" spans="1:3" ht="16.2" thickBot="1">
      <c r="A4" s="12"/>
      <c r="B4" s="13"/>
      <c r="C4" s="14"/>
    </row>
    <row r="5" spans="1:3">
      <c r="A5" s="3"/>
      <c r="B5" s="3"/>
      <c r="C5" s="3"/>
    </row>
    <row r="6" spans="1:3">
      <c r="A6" s="3"/>
      <c r="B6" s="3"/>
      <c r="C6" s="3"/>
    </row>
    <row r="7" spans="1:3" ht="15.6">
      <c r="A7" s="3"/>
      <c r="B7" s="216" t="s">
        <v>18</v>
      </c>
      <c r="C7" s="217"/>
    </row>
    <row r="8" spans="1:3" ht="15.6">
      <c r="A8" s="15" t="s">
        <v>325</v>
      </c>
      <c r="B8" s="16" t="s">
        <v>43</v>
      </c>
      <c r="C8" s="17">
        <v>0</v>
      </c>
    </row>
    <row r="9" spans="1:3" ht="15.6">
      <c r="A9" s="18" t="s">
        <v>326</v>
      </c>
      <c r="B9" s="19" t="s">
        <v>99</v>
      </c>
      <c r="C9" s="20">
        <v>0.05</v>
      </c>
    </row>
    <row r="10" spans="1:3" ht="15.6">
      <c r="A10" s="18" t="s">
        <v>327</v>
      </c>
      <c r="B10" s="19" t="s">
        <v>279</v>
      </c>
      <c r="C10" s="20">
        <v>0.1</v>
      </c>
    </row>
    <row r="11" spans="1:3" ht="15.6">
      <c r="A11" s="18" t="s">
        <v>328</v>
      </c>
      <c r="B11" s="19" t="s">
        <v>329</v>
      </c>
      <c r="C11" s="20">
        <v>0.1</v>
      </c>
    </row>
    <row r="12" spans="1:3" ht="15.6">
      <c r="A12" s="18" t="s">
        <v>330</v>
      </c>
      <c r="B12" s="19" t="s">
        <v>331</v>
      </c>
      <c r="C12" s="20">
        <v>0.1</v>
      </c>
    </row>
    <row r="13" spans="1:3" ht="15.6">
      <c r="A13" s="18" t="s">
        <v>332</v>
      </c>
      <c r="B13" s="19" t="s">
        <v>32</v>
      </c>
      <c r="C13" s="20">
        <v>0</v>
      </c>
    </row>
    <row r="14" spans="1:3" ht="15.6">
      <c r="A14" s="18" t="s">
        <v>333</v>
      </c>
      <c r="B14" s="19" t="s">
        <v>334</v>
      </c>
      <c r="C14" s="20">
        <v>0</v>
      </c>
    </row>
    <row r="15" spans="1:3" ht="15.6">
      <c r="A15" s="18" t="s">
        <v>335</v>
      </c>
      <c r="B15" s="19" t="s">
        <v>336</v>
      </c>
      <c r="C15" s="20">
        <v>0</v>
      </c>
    </row>
    <row r="16" spans="1:3" ht="15.6">
      <c r="A16" s="18" t="s">
        <v>337</v>
      </c>
      <c r="B16" s="19" t="s">
        <v>338</v>
      </c>
      <c r="C16" s="20">
        <v>0</v>
      </c>
    </row>
    <row r="17" spans="1:3" ht="15.6">
      <c r="A17" s="18" t="s">
        <v>339</v>
      </c>
      <c r="B17" s="19" t="s">
        <v>340</v>
      </c>
      <c r="C17" s="20">
        <v>0</v>
      </c>
    </row>
    <row r="18" spans="1:3" ht="15.6">
      <c r="A18" s="18" t="s">
        <v>341</v>
      </c>
      <c r="B18" s="19" t="s">
        <v>342</v>
      </c>
      <c r="C18" s="20">
        <v>0.1</v>
      </c>
    </row>
    <row r="19" spans="1:3" ht="15.6">
      <c r="A19" s="18" t="s">
        <v>343</v>
      </c>
      <c r="B19" s="19" t="s">
        <v>344</v>
      </c>
      <c r="C19" s="20">
        <v>0.1</v>
      </c>
    </row>
    <row r="20" spans="1:3" ht="15.6">
      <c r="A20" s="18" t="s">
        <v>345</v>
      </c>
      <c r="B20" s="19" t="s">
        <v>346</v>
      </c>
      <c r="C20" s="20">
        <v>0</v>
      </c>
    </row>
    <row r="21" spans="1:3" ht="15.6">
      <c r="A21" s="18" t="s">
        <v>347</v>
      </c>
      <c r="B21" s="19" t="s">
        <v>348</v>
      </c>
      <c r="C21" s="20">
        <v>0</v>
      </c>
    </row>
    <row r="22" spans="1:3" ht="15.6">
      <c r="A22" s="18" t="s">
        <v>349</v>
      </c>
      <c r="B22" s="19" t="s">
        <v>349</v>
      </c>
      <c r="C22" s="20">
        <v>0.1</v>
      </c>
    </row>
    <row r="23" spans="1:3" ht="15.6">
      <c r="A23" s="18" t="s">
        <v>350</v>
      </c>
      <c r="B23" s="19" t="s">
        <v>351</v>
      </c>
      <c r="C23" s="20">
        <v>0</v>
      </c>
    </row>
    <row r="24" spans="1:3" ht="15.6">
      <c r="A24" s="18" t="s">
        <v>352</v>
      </c>
      <c r="B24" s="19" t="s">
        <v>353</v>
      </c>
      <c r="C24" s="20">
        <v>0</v>
      </c>
    </row>
    <row r="25" spans="1:3" ht="15.6">
      <c r="A25" s="18" t="s">
        <v>354</v>
      </c>
      <c r="B25" s="19" t="s">
        <v>355</v>
      </c>
      <c r="C25" s="20">
        <v>0</v>
      </c>
    </row>
    <row r="26" spans="1:3" ht="15.6">
      <c r="A26" s="18" t="s">
        <v>345</v>
      </c>
      <c r="B26" s="19" t="s">
        <v>356</v>
      </c>
      <c r="C26" s="20">
        <v>0</v>
      </c>
    </row>
    <row r="27" spans="1:3" ht="15.6">
      <c r="A27" s="18" t="s">
        <v>357</v>
      </c>
      <c r="B27" s="19" t="s">
        <v>358</v>
      </c>
      <c r="C27" s="20">
        <v>0</v>
      </c>
    </row>
    <row r="28" spans="1:3" ht="15.6">
      <c r="A28" s="18" t="s">
        <v>359</v>
      </c>
      <c r="B28" s="19" t="s">
        <v>360</v>
      </c>
      <c r="C28" s="20">
        <v>0</v>
      </c>
    </row>
    <row r="29" spans="1:3" ht="15.6">
      <c r="A29" s="18" t="s">
        <v>361</v>
      </c>
      <c r="B29" s="19" t="s">
        <v>362</v>
      </c>
      <c r="C29" s="20">
        <v>0.1</v>
      </c>
    </row>
    <row r="30" spans="1:3" ht="15.6">
      <c r="A30" s="21" t="s">
        <v>363</v>
      </c>
      <c r="B30" s="22" t="s">
        <v>363</v>
      </c>
      <c r="C30" s="23">
        <v>0</v>
      </c>
    </row>
    <row r="33" spans="1:8">
      <c r="A33" s="24" t="s">
        <v>364</v>
      </c>
      <c r="B33" s="25"/>
      <c r="C33" s="25"/>
      <c r="D33" s="25"/>
      <c r="E33" s="25"/>
      <c r="F33" s="25"/>
      <c r="G33" s="25"/>
      <c r="H33" s="25"/>
    </row>
    <row r="34" spans="1:8">
      <c r="A34" s="25" t="s">
        <v>365</v>
      </c>
      <c r="B34" s="25"/>
      <c r="C34" s="25"/>
      <c r="D34" s="25"/>
      <c r="E34" s="25"/>
      <c r="F34" s="25"/>
      <c r="G34" s="25"/>
      <c r="H34" s="25"/>
    </row>
    <row r="35" spans="1:8">
      <c r="A35" s="25" t="s">
        <v>366</v>
      </c>
      <c r="B35" s="25"/>
      <c r="C35" s="25"/>
      <c r="D35" s="25"/>
      <c r="E35" s="25"/>
      <c r="F35" s="25"/>
      <c r="G35" s="25"/>
      <c r="H35" s="25"/>
    </row>
    <row r="36" spans="1:8">
      <c r="A36" s="25" t="s">
        <v>367</v>
      </c>
      <c r="B36" s="25"/>
      <c r="C36" s="25"/>
      <c r="D36" s="25"/>
      <c r="E36" s="25"/>
      <c r="F36" s="25"/>
      <c r="G36" s="25"/>
      <c r="H36" s="25"/>
    </row>
  </sheetData>
  <mergeCells count="1">
    <mergeCell ref="B7:C7"/>
  </mergeCells>
  <pageMargins left="0.7" right="0.7" top="0.75" bottom="0.75" header="0.3" footer="0.3"/>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S w i f t T o k e n s   x m l n s : x s d = " h t t p : / / w w w . w 3 . o r g / 2 0 0 1 / X M L S c h e m a "   x m l n s : x s i = " h t t p : / / w w w . w 3 . o r g / 2 0 0 1 / X M L S c h e m a - i n s t a n c e " > < T o k e n s / > < / S w i f t T o k e n s > 
</file>

<file path=customXml/itemProps1.xml><?xml version="1.0" encoding="utf-8"?>
<ds:datastoreItem xmlns:ds="http://schemas.openxmlformats.org/officeDocument/2006/customXml" ds:itemID="{F47021E2-8793-411E-B075-318530D4334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General Summary</vt:lpstr>
      <vt:lpstr>Takeoff Breakdown</vt:lpstr>
      <vt:lpstr>LABOR SHEET</vt:lpstr>
      <vt:lpstr>'General Summary'!Print_Area</vt:lpstr>
      <vt:lpstr>'Takeoff Breakdown'!Print_Area</vt:lpstr>
      <vt:lpstr>'Takeoff Breakdown'!Print_Titles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Mfbzone</dc:creator>
  <cp:lastModifiedBy>CH Shahzaib</cp:lastModifiedBy>
  <cp:lastPrinted>2023-01-11T20:23:00Z</cp:lastPrinted>
  <dcterms:created xsi:type="dcterms:W3CDTF">2016-03-30T11:57:00Z</dcterms:created>
  <dcterms:modified xsi:type="dcterms:W3CDTF">2026-08-07T19:54:38Z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S9Connected">
    <vt:bool>true</vt:bool>
  </property>
  <property fmtid="{D5CDD505-2E9C-101B-9397-08002B2CF9AE}" pid="3" name="PlanSwiftJobName">
    <vt:lpwstr/>
  </property>
  <property fmtid="{D5CDD505-2E9C-101B-9397-08002B2CF9AE}" pid="4" name="PlanSwiftJobGuid">
    <vt:lpwstr/>
  </property>
  <property fmtid="{D5CDD505-2E9C-101B-9397-08002B2CF9AE}" pid="5" name="LinkedDataId">
    <vt:lpwstr>{F47021E2-8793-411E-B075-318530D4334E}</vt:lpwstr>
  </property>
  <property fmtid="{D5CDD505-2E9C-101B-9397-08002B2CF9AE}" pid="6" name="ICV">
    <vt:lpwstr>7414BABF99BA43DCBB22217A616245E6_13</vt:lpwstr>
  </property>
  <property fmtid="{D5CDD505-2E9C-101B-9397-08002B2CF9AE}" pid="7" name="KSOProductBuildVer">
    <vt:lpwstr>1033-12.2.0.23196</vt:lpwstr>
  </property>
</Properties>
</file>