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ity\Desktop\Website Samples PDF\"/>
    </mc:Choice>
  </mc:AlternateContent>
  <xr:revisionPtr revIDLastSave="0" documentId="13_ncr:1_{2EB399C6-B151-4E38-81FB-9607D947DE3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General Summary" sheetId="4" r:id="rId1"/>
    <sheet name="Takeoff Breakdown" sheetId="1" r:id="rId2"/>
    <sheet name="LABOR SHEET" sheetId="6" r:id="rId3"/>
  </sheets>
  <definedNames>
    <definedName name="_xlnm._FilterDatabase" localSheetId="1" hidden="1">'Takeoff Breakdown'!$A$17:$AJ$261</definedName>
    <definedName name="_xlnm.Print_Area" localSheetId="0">'General Summary'!$A$1:$N$16</definedName>
    <definedName name="_xlnm.Print_Area" localSheetId="1">'Takeoff Breakdown'!$A$2:$Q$261</definedName>
    <definedName name="_xlnm.Print_Titles" localSheetId="1">'Takeoff Breakdown'!$1:$6</definedName>
  </definedNames>
  <calcPr calcId="181029"/>
</workbook>
</file>

<file path=xl/calcChain.xml><?xml version="1.0" encoding="utf-8"?>
<calcChain xmlns="http://schemas.openxmlformats.org/spreadsheetml/2006/main">
  <c r="Q15" i="1" l="1"/>
  <c r="Q253" i="1"/>
  <c r="Q216" i="1"/>
  <c r="Q231" i="1"/>
  <c r="L147" i="1"/>
  <c r="J147" i="1"/>
  <c r="M147" i="1" s="1"/>
  <c r="L140" i="1"/>
  <c r="J140" i="1"/>
  <c r="M140" i="1" s="1"/>
  <c r="L136" i="1"/>
  <c r="J136" i="1"/>
  <c r="M136" i="1" s="1"/>
  <c r="L226" i="1"/>
  <c r="J226" i="1"/>
  <c r="M226" i="1" s="1"/>
  <c r="L222" i="1"/>
  <c r="J222" i="1"/>
  <c r="M222" i="1" s="1"/>
  <c r="L214" i="1"/>
  <c r="J214" i="1"/>
  <c r="M214" i="1" s="1"/>
  <c r="L212" i="1"/>
  <c r="J212" i="1"/>
  <c r="M212" i="1" s="1"/>
  <c r="L211" i="1"/>
  <c r="J211" i="1"/>
  <c r="M211" i="1" s="1"/>
  <c r="L209" i="1"/>
  <c r="J209" i="1"/>
  <c r="M209" i="1" s="1"/>
  <c r="M208" i="1"/>
  <c r="L208" i="1"/>
  <c r="J208" i="1"/>
  <c r="L206" i="1"/>
  <c r="J206" i="1"/>
  <c r="M206" i="1" s="1"/>
  <c r="L205" i="1"/>
  <c r="J205" i="1"/>
  <c r="M205" i="1" s="1"/>
  <c r="L203" i="1"/>
  <c r="J203" i="1"/>
  <c r="M203" i="1" s="1"/>
  <c r="M202" i="1"/>
  <c r="L202" i="1"/>
  <c r="J202" i="1"/>
  <c r="L199" i="1"/>
  <c r="J199" i="1"/>
  <c r="M199" i="1" s="1"/>
  <c r="L198" i="1"/>
  <c r="J198" i="1"/>
  <c r="M198" i="1" s="1"/>
  <c r="L196" i="1"/>
  <c r="J196" i="1"/>
  <c r="M196" i="1" s="1"/>
  <c r="L195" i="1"/>
  <c r="J195" i="1"/>
  <c r="M195" i="1" s="1"/>
  <c r="L193" i="1"/>
  <c r="J193" i="1"/>
  <c r="M193" i="1" s="1"/>
  <c r="L192" i="1"/>
  <c r="J192" i="1"/>
  <c r="M192" i="1" s="1"/>
  <c r="L191" i="1"/>
  <c r="J191" i="1"/>
  <c r="M191" i="1" s="1"/>
  <c r="L190" i="1"/>
  <c r="J190" i="1"/>
  <c r="M190" i="1" s="1"/>
  <c r="L189" i="1"/>
  <c r="J189" i="1"/>
  <c r="M189" i="1" s="1"/>
  <c r="L187" i="1"/>
  <c r="J187" i="1"/>
  <c r="M187" i="1" s="1"/>
  <c r="L186" i="1"/>
  <c r="J186" i="1"/>
  <c r="M186" i="1" s="1"/>
  <c r="M185" i="1"/>
  <c r="L185" i="1"/>
  <c r="J185" i="1"/>
  <c r="L184" i="1"/>
  <c r="J184" i="1"/>
  <c r="M184" i="1" s="1"/>
  <c r="L183" i="1"/>
  <c r="J183" i="1"/>
  <c r="M183" i="1" s="1"/>
  <c r="L181" i="1"/>
  <c r="J181" i="1"/>
  <c r="M181" i="1" s="1"/>
  <c r="L180" i="1"/>
  <c r="J180" i="1"/>
  <c r="M180" i="1" s="1"/>
  <c r="L179" i="1"/>
  <c r="J179" i="1"/>
  <c r="M179" i="1" s="1"/>
  <c r="L178" i="1"/>
  <c r="J178" i="1"/>
  <c r="M178" i="1" s="1"/>
  <c r="L175" i="1"/>
  <c r="J175" i="1"/>
  <c r="M175" i="1" s="1"/>
  <c r="L174" i="1"/>
  <c r="J174" i="1"/>
  <c r="M174" i="1" s="1"/>
  <c r="L173" i="1"/>
  <c r="J173" i="1"/>
  <c r="M173" i="1" s="1"/>
  <c r="L172" i="1"/>
  <c r="J172" i="1"/>
  <c r="M172" i="1" s="1"/>
  <c r="L170" i="1"/>
  <c r="J170" i="1"/>
  <c r="M170" i="1" s="1"/>
  <c r="L169" i="1"/>
  <c r="J169" i="1"/>
  <c r="M169" i="1" s="1"/>
  <c r="L168" i="1"/>
  <c r="J168" i="1"/>
  <c r="M168" i="1" s="1"/>
  <c r="L167" i="1"/>
  <c r="J167" i="1"/>
  <c r="M167" i="1" s="1"/>
  <c r="L165" i="1"/>
  <c r="J165" i="1"/>
  <c r="M165" i="1" s="1"/>
  <c r="M164" i="1"/>
  <c r="L164" i="1"/>
  <c r="J164" i="1"/>
  <c r="L163" i="1"/>
  <c r="J163" i="1"/>
  <c r="M163" i="1" s="1"/>
  <c r="L162" i="1"/>
  <c r="J162" i="1"/>
  <c r="M162" i="1" s="1"/>
  <c r="L159" i="1"/>
  <c r="J159" i="1"/>
  <c r="M159" i="1" s="1"/>
  <c r="L158" i="1"/>
  <c r="J158" i="1"/>
  <c r="M158" i="1" s="1"/>
  <c r="L157" i="1"/>
  <c r="J157" i="1"/>
  <c r="M157" i="1" s="1"/>
  <c r="L156" i="1"/>
  <c r="J156" i="1"/>
  <c r="M156" i="1" s="1"/>
  <c r="J153" i="1"/>
  <c r="L153" i="1"/>
  <c r="M153" i="1"/>
  <c r="L152" i="1"/>
  <c r="J152" i="1"/>
  <c r="M152" i="1" s="1"/>
  <c r="L151" i="1"/>
  <c r="J151" i="1"/>
  <c r="M151" i="1" s="1"/>
  <c r="L146" i="1"/>
  <c r="J146" i="1"/>
  <c r="M146" i="1" s="1"/>
  <c r="L145" i="1"/>
  <c r="J145" i="1"/>
  <c r="M145" i="1" s="1"/>
  <c r="L143" i="1"/>
  <c r="J143" i="1"/>
  <c r="M143" i="1" s="1"/>
  <c r="M142" i="1"/>
  <c r="L142" i="1"/>
  <c r="J142" i="1"/>
  <c r="L139" i="1"/>
  <c r="J139" i="1"/>
  <c r="M139" i="1" s="1"/>
  <c r="L138" i="1"/>
  <c r="J138" i="1"/>
  <c r="M138" i="1" s="1"/>
  <c r="L135" i="1"/>
  <c r="J135" i="1"/>
  <c r="M135" i="1" s="1"/>
  <c r="L134" i="1"/>
  <c r="J134" i="1"/>
  <c r="M134" i="1" s="1"/>
  <c r="L131" i="1"/>
  <c r="J131" i="1"/>
  <c r="M131" i="1" s="1"/>
  <c r="L130" i="1"/>
  <c r="J130" i="1"/>
  <c r="M130" i="1" s="1"/>
  <c r="L127" i="1"/>
  <c r="J127" i="1"/>
  <c r="M127" i="1" s="1"/>
  <c r="L126" i="1"/>
  <c r="J126" i="1"/>
  <c r="M126" i="1" s="1"/>
  <c r="L125" i="1"/>
  <c r="J125" i="1"/>
  <c r="M125" i="1" s="1"/>
  <c r="L124" i="1"/>
  <c r="J124" i="1"/>
  <c r="M124" i="1" s="1"/>
  <c r="L123" i="1"/>
  <c r="J123" i="1"/>
  <c r="M123" i="1" s="1"/>
  <c r="L120" i="1"/>
  <c r="J120" i="1"/>
  <c r="M120" i="1" s="1"/>
  <c r="L119" i="1"/>
  <c r="J119" i="1"/>
  <c r="M119" i="1" s="1"/>
  <c r="L118" i="1"/>
  <c r="J118" i="1"/>
  <c r="M118" i="1" s="1"/>
  <c r="L117" i="1"/>
  <c r="J117" i="1"/>
  <c r="M117" i="1" s="1"/>
  <c r="L116" i="1"/>
  <c r="J116" i="1"/>
  <c r="M116" i="1" s="1"/>
  <c r="L114" i="1"/>
  <c r="J114" i="1"/>
  <c r="M114" i="1" s="1"/>
  <c r="L113" i="1"/>
  <c r="J113" i="1"/>
  <c r="M113" i="1" s="1"/>
  <c r="M112" i="1"/>
  <c r="L112" i="1"/>
  <c r="J112" i="1"/>
  <c r="L111" i="1"/>
  <c r="J111" i="1"/>
  <c r="M111" i="1" s="1"/>
  <c r="L110" i="1"/>
  <c r="J110" i="1"/>
  <c r="M110" i="1" s="1"/>
  <c r="L108" i="1"/>
  <c r="J108" i="1"/>
  <c r="M108" i="1" s="1"/>
  <c r="L107" i="1"/>
  <c r="J107" i="1"/>
  <c r="M107" i="1" s="1"/>
  <c r="L106" i="1"/>
  <c r="J106" i="1"/>
  <c r="M106" i="1" s="1"/>
  <c r="L105" i="1"/>
  <c r="J105" i="1"/>
  <c r="M105" i="1" s="1"/>
  <c r="L104" i="1"/>
  <c r="J104" i="1"/>
  <c r="M104" i="1" s="1"/>
  <c r="L102" i="1"/>
  <c r="J102" i="1"/>
  <c r="M102" i="1" s="1"/>
  <c r="L101" i="1"/>
  <c r="J101" i="1"/>
  <c r="M101" i="1" s="1"/>
  <c r="L100" i="1"/>
  <c r="J100" i="1"/>
  <c r="M100" i="1" s="1"/>
  <c r="L99" i="1"/>
  <c r="J99" i="1"/>
  <c r="M99" i="1" s="1"/>
  <c r="L98" i="1"/>
  <c r="J98" i="1"/>
  <c r="M98" i="1" s="1"/>
  <c r="L96" i="1"/>
  <c r="J96" i="1"/>
  <c r="M96" i="1" s="1"/>
  <c r="L95" i="1"/>
  <c r="J95" i="1"/>
  <c r="M95" i="1" s="1"/>
  <c r="L94" i="1"/>
  <c r="J94" i="1"/>
  <c r="M94" i="1" s="1"/>
  <c r="L93" i="1"/>
  <c r="J93" i="1"/>
  <c r="M93" i="1" s="1"/>
  <c r="L92" i="1"/>
  <c r="J92" i="1"/>
  <c r="M92" i="1" s="1"/>
  <c r="L90" i="1"/>
  <c r="J90" i="1"/>
  <c r="M90" i="1" s="1"/>
  <c r="L89" i="1"/>
  <c r="J89" i="1"/>
  <c r="M89" i="1" s="1"/>
  <c r="L88" i="1"/>
  <c r="J88" i="1"/>
  <c r="M88" i="1" s="1"/>
  <c r="L87" i="1"/>
  <c r="J87" i="1"/>
  <c r="M87" i="1" s="1"/>
  <c r="L86" i="1"/>
  <c r="J86" i="1"/>
  <c r="M86" i="1" s="1"/>
  <c r="L84" i="1"/>
  <c r="J84" i="1"/>
  <c r="M84" i="1" s="1"/>
  <c r="L83" i="1"/>
  <c r="J83" i="1"/>
  <c r="M83" i="1" s="1"/>
  <c r="L82" i="1"/>
  <c r="J82" i="1"/>
  <c r="M82" i="1" s="1"/>
  <c r="L81" i="1"/>
  <c r="J81" i="1"/>
  <c r="M81" i="1" s="1"/>
  <c r="L80" i="1"/>
  <c r="J80" i="1"/>
  <c r="M80" i="1" s="1"/>
  <c r="L78" i="1"/>
  <c r="J78" i="1"/>
  <c r="M78" i="1" s="1"/>
  <c r="L77" i="1"/>
  <c r="J77" i="1"/>
  <c r="M77" i="1" s="1"/>
  <c r="L76" i="1"/>
  <c r="J76" i="1"/>
  <c r="M76" i="1" s="1"/>
  <c r="L75" i="1"/>
  <c r="J75" i="1"/>
  <c r="M75" i="1" s="1"/>
  <c r="L74" i="1"/>
  <c r="J74" i="1"/>
  <c r="M74" i="1" s="1"/>
  <c r="L71" i="1"/>
  <c r="J71" i="1"/>
  <c r="M71" i="1" s="1"/>
  <c r="M70" i="1"/>
  <c r="L70" i="1"/>
  <c r="J70" i="1"/>
  <c r="L69" i="1"/>
  <c r="J69" i="1"/>
  <c r="M69" i="1" s="1"/>
  <c r="L68" i="1"/>
  <c r="J68" i="1"/>
  <c r="M68" i="1" s="1"/>
  <c r="L67" i="1"/>
  <c r="J67" i="1"/>
  <c r="M67" i="1" s="1"/>
  <c r="L65" i="1"/>
  <c r="J65" i="1"/>
  <c r="M65" i="1" s="1"/>
  <c r="L64" i="1"/>
  <c r="J64" i="1"/>
  <c r="M64" i="1" s="1"/>
  <c r="L63" i="1"/>
  <c r="J63" i="1"/>
  <c r="M63" i="1" s="1"/>
  <c r="L62" i="1"/>
  <c r="J62" i="1"/>
  <c r="M62" i="1" s="1"/>
  <c r="L61" i="1"/>
  <c r="J61" i="1"/>
  <c r="M61" i="1" s="1"/>
  <c r="L58" i="1"/>
  <c r="J58" i="1"/>
  <c r="M58" i="1" s="1"/>
  <c r="L57" i="1"/>
  <c r="J57" i="1"/>
  <c r="M57" i="1" s="1"/>
  <c r="J56" i="1"/>
  <c r="L56" i="1"/>
  <c r="M56" i="1"/>
  <c r="L55" i="1"/>
  <c r="J55" i="1"/>
  <c r="M55" i="1" s="1"/>
  <c r="L54" i="1"/>
  <c r="J54" i="1"/>
  <c r="M54" i="1" s="1"/>
  <c r="L52" i="1"/>
  <c r="J52" i="1"/>
  <c r="M52" i="1" s="1"/>
  <c r="L51" i="1"/>
  <c r="J51" i="1"/>
  <c r="M51" i="1" s="1"/>
  <c r="L50" i="1"/>
  <c r="J50" i="1"/>
  <c r="M50" i="1" s="1"/>
  <c r="L49" i="1"/>
  <c r="J49" i="1"/>
  <c r="M49" i="1" s="1"/>
  <c r="L47" i="1"/>
  <c r="J47" i="1"/>
  <c r="M47" i="1" s="1"/>
  <c r="L46" i="1"/>
  <c r="J46" i="1"/>
  <c r="M46" i="1" s="1"/>
  <c r="L45" i="1"/>
  <c r="J45" i="1"/>
  <c r="M45" i="1" s="1"/>
  <c r="L44" i="1"/>
  <c r="J44" i="1"/>
  <c r="M44" i="1" s="1"/>
  <c r="L42" i="1"/>
  <c r="J42" i="1"/>
  <c r="M42" i="1" s="1"/>
  <c r="L41" i="1"/>
  <c r="J41" i="1"/>
  <c r="M41" i="1" s="1"/>
  <c r="L40" i="1"/>
  <c r="J40" i="1"/>
  <c r="M40" i="1" s="1"/>
  <c r="L39" i="1"/>
  <c r="J39" i="1"/>
  <c r="M39" i="1" s="1"/>
  <c r="L37" i="1"/>
  <c r="J37" i="1"/>
  <c r="M37" i="1" s="1"/>
  <c r="L36" i="1"/>
  <c r="J36" i="1"/>
  <c r="M36" i="1" s="1"/>
  <c r="L35" i="1"/>
  <c r="J35" i="1"/>
  <c r="M35" i="1" s="1"/>
  <c r="L34" i="1"/>
  <c r="J34" i="1"/>
  <c r="M34" i="1" s="1"/>
  <c r="L32" i="1"/>
  <c r="J32" i="1"/>
  <c r="M32" i="1" s="1"/>
  <c r="L31" i="1"/>
  <c r="J31" i="1"/>
  <c r="M31" i="1" s="1"/>
  <c r="L30" i="1"/>
  <c r="J30" i="1"/>
  <c r="M30" i="1" s="1"/>
  <c r="L29" i="1"/>
  <c r="J29" i="1"/>
  <c r="M29" i="1" s="1"/>
  <c r="L27" i="1"/>
  <c r="J27" i="1"/>
  <c r="M27" i="1" s="1"/>
  <c r="L26" i="1"/>
  <c r="J26" i="1"/>
  <c r="M26" i="1" s="1"/>
  <c r="L25" i="1"/>
  <c r="J25" i="1"/>
  <c r="M25" i="1" s="1"/>
  <c r="L24" i="1"/>
  <c r="J24" i="1"/>
  <c r="M24" i="1" s="1"/>
  <c r="A237" i="1"/>
  <c r="A238" i="1"/>
  <c r="A244" i="1"/>
  <c r="A245" i="1"/>
  <c r="A248" i="1"/>
  <c r="A249" i="1"/>
  <c r="A223" i="1"/>
  <c r="A224" i="1"/>
  <c r="A227" i="1"/>
  <c r="A228" i="1"/>
  <c r="A23" i="1"/>
  <c r="A28" i="1"/>
  <c r="A33" i="1"/>
  <c r="A38" i="1"/>
  <c r="A43" i="1"/>
  <c r="A48" i="1"/>
  <c r="A53" i="1"/>
  <c r="A59" i="1"/>
  <c r="A60" i="1"/>
  <c r="A66" i="1"/>
  <c r="A72" i="1"/>
  <c r="A73" i="1"/>
  <c r="A79" i="1"/>
  <c r="A85" i="1"/>
  <c r="A91" i="1"/>
  <c r="A97" i="1"/>
  <c r="A103" i="1"/>
  <c r="A109" i="1"/>
  <c r="A115" i="1"/>
  <c r="A121" i="1"/>
  <c r="A122" i="1"/>
  <c r="A128" i="1"/>
  <c r="A129" i="1"/>
  <c r="A133" i="1"/>
  <c r="A137" i="1"/>
  <c r="A141" i="1"/>
  <c r="A148" i="1"/>
  <c r="A149" i="1"/>
  <c r="A150" i="1"/>
  <c r="A155" i="1"/>
  <c r="A160" i="1"/>
  <c r="A161" i="1"/>
  <c r="A166" i="1"/>
  <c r="A171" i="1"/>
  <c r="A176" i="1"/>
  <c r="A177" i="1"/>
  <c r="A182" i="1"/>
  <c r="A188" i="1"/>
  <c r="A194" i="1"/>
  <c r="A197" i="1"/>
  <c r="A200" i="1"/>
  <c r="A201" i="1"/>
  <c r="A204" i="1"/>
  <c r="A207" i="1"/>
  <c r="A210" i="1"/>
  <c r="A213" i="1"/>
  <c r="P250" i="1"/>
  <c r="L250" i="1"/>
  <c r="G250" i="1"/>
  <c r="J250" i="1" s="1"/>
  <c r="M250" i="1" s="1"/>
  <c r="P251" i="1"/>
  <c r="L251" i="1"/>
  <c r="G251" i="1"/>
  <c r="P247" i="1"/>
  <c r="L247" i="1"/>
  <c r="G247" i="1"/>
  <c r="P246" i="1"/>
  <c r="L246" i="1"/>
  <c r="G246" i="1"/>
  <c r="O246" i="1" s="1"/>
  <c r="P243" i="1"/>
  <c r="L243" i="1"/>
  <c r="G243" i="1"/>
  <c r="J243" i="1" s="1"/>
  <c r="M243" i="1" s="1"/>
  <c r="P242" i="1"/>
  <c r="L242" i="1"/>
  <c r="G242" i="1"/>
  <c r="P241" i="1"/>
  <c r="L241" i="1"/>
  <c r="G241" i="1"/>
  <c r="J241" i="1" s="1"/>
  <c r="M241" i="1" s="1"/>
  <c r="P240" i="1"/>
  <c r="L240" i="1"/>
  <c r="G240" i="1"/>
  <c r="J240" i="1" s="1"/>
  <c r="M240" i="1" s="1"/>
  <c r="P239" i="1"/>
  <c r="L239" i="1"/>
  <c r="G239" i="1"/>
  <c r="P236" i="1"/>
  <c r="Q236" i="1" s="1"/>
  <c r="L236" i="1"/>
  <c r="G236" i="1"/>
  <c r="P235" i="1"/>
  <c r="L235" i="1"/>
  <c r="G235" i="1"/>
  <c r="P229" i="1"/>
  <c r="L229" i="1"/>
  <c r="G229" i="1"/>
  <c r="O229" i="1" s="1"/>
  <c r="P226" i="1"/>
  <c r="P225" i="1"/>
  <c r="L225" i="1"/>
  <c r="G225" i="1"/>
  <c r="J225" i="1" s="1"/>
  <c r="M225" i="1" s="1"/>
  <c r="P222" i="1"/>
  <c r="P221" i="1"/>
  <c r="L221" i="1"/>
  <c r="P214" i="1"/>
  <c r="P212" i="1"/>
  <c r="P211" i="1"/>
  <c r="P209" i="1"/>
  <c r="P208" i="1"/>
  <c r="P206" i="1"/>
  <c r="P205" i="1"/>
  <c r="P203" i="1"/>
  <c r="P202" i="1"/>
  <c r="E214" i="1"/>
  <c r="G214" i="1" s="1"/>
  <c r="O214" i="1" s="1"/>
  <c r="E212" i="1"/>
  <c r="G212" i="1" s="1"/>
  <c r="O212" i="1" s="1"/>
  <c r="E211" i="1"/>
  <c r="G211" i="1" s="1"/>
  <c r="O211" i="1" s="1"/>
  <c r="E209" i="1"/>
  <c r="G209" i="1" s="1"/>
  <c r="E208" i="1"/>
  <c r="G208" i="1" s="1"/>
  <c r="E206" i="1"/>
  <c r="G206" i="1" s="1"/>
  <c r="E205" i="1"/>
  <c r="G205" i="1" s="1"/>
  <c r="E203" i="1"/>
  <c r="G203" i="1" s="1"/>
  <c r="E202" i="1"/>
  <c r="G202" i="1" s="1"/>
  <c r="Q202" i="1" s="1"/>
  <c r="P198" i="1"/>
  <c r="P199" i="1"/>
  <c r="P196" i="1"/>
  <c r="P195" i="1"/>
  <c r="P193" i="1"/>
  <c r="P192" i="1"/>
  <c r="P191" i="1"/>
  <c r="P190" i="1"/>
  <c r="P189" i="1"/>
  <c r="P187" i="1"/>
  <c r="P186" i="1"/>
  <c r="P185" i="1"/>
  <c r="P184" i="1"/>
  <c r="P183" i="1"/>
  <c r="P181" i="1"/>
  <c r="P180" i="1"/>
  <c r="P179" i="1"/>
  <c r="P178" i="1"/>
  <c r="P175" i="1"/>
  <c r="P174" i="1"/>
  <c r="P173" i="1"/>
  <c r="P172" i="1"/>
  <c r="P170" i="1"/>
  <c r="P169" i="1"/>
  <c r="P168" i="1"/>
  <c r="P167" i="1"/>
  <c r="P165" i="1"/>
  <c r="P164" i="1"/>
  <c r="P163" i="1"/>
  <c r="P162" i="1"/>
  <c r="P159" i="1"/>
  <c r="P158" i="1"/>
  <c r="P157" i="1"/>
  <c r="P156" i="1"/>
  <c r="P154" i="1"/>
  <c r="L154" i="1"/>
  <c r="P153" i="1"/>
  <c r="P152" i="1"/>
  <c r="P151" i="1"/>
  <c r="P147" i="1"/>
  <c r="P146" i="1"/>
  <c r="P145" i="1"/>
  <c r="P144" i="1"/>
  <c r="L144" i="1"/>
  <c r="G144" i="1"/>
  <c r="J144" i="1" s="1"/>
  <c r="M144" i="1" s="1"/>
  <c r="P143" i="1"/>
  <c r="P142" i="1"/>
  <c r="P140" i="1"/>
  <c r="P139" i="1"/>
  <c r="P138" i="1"/>
  <c r="P136" i="1"/>
  <c r="P135" i="1"/>
  <c r="P134" i="1"/>
  <c r="P132" i="1"/>
  <c r="L132" i="1"/>
  <c r="P131" i="1"/>
  <c r="P130" i="1"/>
  <c r="P127" i="1"/>
  <c r="P126" i="1"/>
  <c r="P125" i="1"/>
  <c r="P124" i="1"/>
  <c r="P123" i="1"/>
  <c r="P120" i="1"/>
  <c r="P119" i="1"/>
  <c r="P118" i="1"/>
  <c r="P117" i="1"/>
  <c r="P116" i="1"/>
  <c r="P114" i="1"/>
  <c r="P113" i="1"/>
  <c r="P112" i="1"/>
  <c r="P111" i="1"/>
  <c r="P110" i="1"/>
  <c r="P108" i="1"/>
  <c r="P107" i="1"/>
  <c r="P106" i="1"/>
  <c r="P105" i="1"/>
  <c r="P104" i="1"/>
  <c r="P102" i="1"/>
  <c r="P101" i="1"/>
  <c r="P100" i="1"/>
  <c r="P99" i="1"/>
  <c r="P98" i="1"/>
  <c r="P96" i="1"/>
  <c r="P95" i="1"/>
  <c r="P94" i="1"/>
  <c r="P93" i="1"/>
  <c r="P92" i="1"/>
  <c r="P90" i="1"/>
  <c r="P89" i="1"/>
  <c r="P88" i="1"/>
  <c r="P87" i="1"/>
  <c r="P86" i="1"/>
  <c r="P84" i="1"/>
  <c r="P83" i="1"/>
  <c r="P82" i="1"/>
  <c r="P81" i="1"/>
  <c r="P80" i="1"/>
  <c r="P78" i="1"/>
  <c r="P77" i="1"/>
  <c r="P76" i="1"/>
  <c r="P75" i="1"/>
  <c r="P74" i="1"/>
  <c r="P71" i="1"/>
  <c r="P70" i="1"/>
  <c r="P69" i="1"/>
  <c r="P68" i="1"/>
  <c r="P67" i="1"/>
  <c r="P65" i="1"/>
  <c r="P64" i="1"/>
  <c r="P63" i="1"/>
  <c r="P62" i="1"/>
  <c r="P61" i="1"/>
  <c r="P54" i="1"/>
  <c r="P58" i="1"/>
  <c r="P57" i="1"/>
  <c r="P56" i="1"/>
  <c r="P55" i="1"/>
  <c r="P52" i="1"/>
  <c r="P51" i="1"/>
  <c r="P50" i="1"/>
  <c r="P49" i="1"/>
  <c r="P47" i="1"/>
  <c r="P46" i="1"/>
  <c r="P45" i="1"/>
  <c r="P44" i="1"/>
  <c r="P42" i="1"/>
  <c r="P41" i="1"/>
  <c r="P40" i="1"/>
  <c r="P39" i="1"/>
  <c r="P37" i="1"/>
  <c r="P36" i="1"/>
  <c r="P35" i="1"/>
  <c r="P34" i="1"/>
  <c r="P32" i="1"/>
  <c r="P31" i="1"/>
  <c r="P30" i="1"/>
  <c r="P29" i="1"/>
  <c r="P27" i="1"/>
  <c r="P26" i="1"/>
  <c r="P25" i="1"/>
  <c r="P24" i="1"/>
  <c r="P22" i="1"/>
  <c r="L22" i="1"/>
  <c r="P21" i="1"/>
  <c r="L21" i="1"/>
  <c r="P19" i="1"/>
  <c r="L19" i="1"/>
  <c r="E226" i="1"/>
  <c r="G226" i="1" s="1"/>
  <c r="O226" i="1" s="1"/>
  <c r="E222" i="1"/>
  <c r="G222" i="1" s="1"/>
  <c r="E221" i="1"/>
  <c r="G221" i="1" s="1"/>
  <c r="E199" i="1"/>
  <c r="G199" i="1" s="1"/>
  <c r="E198" i="1"/>
  <c r="G198" i="1" s="1"/>
  <c r="O198" i="1" s="1"/>
  <c r="E196" i="1"/>
  <c r="G196" i="1" s="1"/>
  <c r="E195" i="1"/>
  <c r="G195" i="1" s="1"/>
  <c r="E193" i="1"/>
  <c r="G193" i="1" s="1"/>
  <c r="E191" i="1"/>
  <c r="G191" i="1" s="1"/>
  <c r="O191" i="1" s="1"/>
  <c r="E190" i="1"/>
  <c r="G190" i="1" s="1"/>
  <c r="E189" i="1"/>
  <c r="E192" i="1" s="1"/>
  <c r="G192" i="1" s="1"/>
  <c r="E187" i="1"/>
  <c r="G187" i="1" s="1"/>
  <c r="E185" i="1"/>
  <c r="G185" i="1" s="1"/>
  <c r="E184" i="1"/>
  <c r="G184" i="1" s="1"/>
  <c r="E183" i="1"/>
  <c r="E186" i="1" s="1"/>
  <c r="G186" i="1" s="1"/>
  <c r="E181" i="1"/>
  <c r="G181" i="1" s="1"/>
  <c r="O181" i="1" s="1"/>
  <c r="E179" i="1"/>
  <c r="G179" i="1" s="1"/>
  <c r="E178" i="1"/>
  <c r="E180" i="1" s="1"/>
  <c r="G180" i="1" s="1"/>
  <c r="E175" i="1"/>
  <c r="G175" i="1" s="1"/>
  <c r="E174" i="1"/>
  <c r="G174" i="1" s="1"/>
  <c r="E173" i="1"/>
  <c r="G173" i="1" s="1"/>
  <c r="E172" i="1"/>
  <c r="G172" i="1" s="1"/>
  <c r="E170" i="1"/>
  <c r="G170" i="1" s="1"/>
  <c r="O170" i="1" s="1"/>
  <c r="E169" i="1"/>
  <c r="G169" i="1" s="1"/>
  <c r="E168" i="1"/>
  <c r="G168" i="1" s="1"/>
  <c r="E167" i="1"/>
  <c r="G167" i="1" s="1"/>
  <c r="E165" i="1"/>
  <c r="G165" i="1" s="1"/>
  <c r="E164" i="1"/>
  <c r="G164" i="1" s="1"/>
  <c r="E163" i="1"/>
  <c r="G163" i="1" s="1"/>
  <c r="O163" i="1" s="1"/>
  <c r="E162" i="1"/>
  <c r="G162" i="1" s="1"/>
  <c r="E159" i="1"/>
  <c r="G159" i="1" s="1"/>
  <c r="O159" i="1" s="1"/>
  <c r="E158" i="1"/>
  <c r="G158" i="1" s="1"/>
  <c r="E157" i="1"/>
  <c r="G157" i="1" s="1"/>
  <c r="E156" i="1"/>
  <c r="G156" i="1" s="1"/>
  <c r="E154" i="1"/>
  <c r="G154" i="1" s="1"/>
  <c r="O154" i="1" s="1"/>
  <c r="E153" i="1"/>
  <c r="G153" i="1" s="1"/>
  <c r="E152" i="1"/>
  <c r="G152" i="1" s="1"/>
  <c r="E151" i="1"/>
  <c r="G151" i="1" s="1"/>
  <c r="E147" i="1"/>
  <c r="G147" i="1" s="1"/>
  <c r="O147" i="1" s="1"/>
  <c r="E146" i="1"/>
  <c r="G146" i="1" s="1"/>
  <c r="E145" i="1"/>
  <c r="G145" i="1" s="1"/>
  <c r="E143" i="1"/>
  <c r="G143" i="1" s="1"/>
  <c r="E142" i="1"/>
  <c r="G142" i="1" s="1"/>
  <c r="E140" i="1"/>
  <c r="G140" i="1" s="1"/>
  <c r="E139" i="1"/>
  <c r="G139" i="1" s="1"/>
  <c r="E138" i="1"/>
  <c r="G138" i="1" s="1"/>
  <c r="O138" i="1" s="1"/>
  <c r="E136" i="1"/>
  <c r="G136" i="1" s="1"/>
  <c r="E135" i="1"/>
  <c r="G135" i="1" s="1"/>
  <c r="E134" i="1"/>
  <c r="G134" i="1" s="1"/>
  <c r="E132" i="1"/>
  <c r="G132" i="1" s="1"/>
  <c r="E131" i="1"/>
  <c r="G131" i="1" s="1"/>
  <c r="E130" i="1"/>
  <c r="G130" i="1" s="1"/>
  <c r="E127" i="1"/>
  <c r="G127" i="1" s="1"/>
  <c r="E125" i="1"/>
  <c r="G125" i="1" s="1"/>
  <c r="E124" i="1"/>
  <c r="G124" i="1" s="1"/>
  <c r="E123" i="1"/>
  <c r="E126" i="1" s="1"/>
  <c r="G126" i="1" s="1"/>
  <c r="O126" i="1" s="1"/>
  <c r="E120" i="1"/>
  <c r="G120" i="1" s="1"/>
  <c r="E118" i="1"/>
  <c r="G118" i="1" s="1"/>
  <c r="E117" i="1"/>
  <c r="G117" i="1" s="1"/>
  <c r="E116" i="1"/>
  <c r="E119" i="1" s="1"/>
  <c r="G119" i="1" s="1"/>
  <c r="E114" i="1"/>
  <c r="G114" i="1" s="1"/>
  <c r="E112" i="1"/>
  <c r="G112" i="1" s="1"/>
  <c r="E111" i="1"/>
  <c r="G111" i="1" s="1"/>
  <c r="E110" i="1"/>
  <c r="E113" i="1" s="1"/>
  <c r="G113" i="1" s="1"/>
  <c r="E108" i="1"/>
  <c r="G108" i="1" s="1"/>
  <c r="E106" i="1"/>
  <c r="G106" i="1" s="1"/>
  <c r="O106" i="1" s="1"/>
  <c r="E105" i="1"/>
  <c r="G105" i="1" s="1"/>
  <c r="E104" i="1"/>
  <c r="E107" i="1" s="1"/>
  <c r="G107" i="1" s="1"/>
  <c r="E102" i="1"/>
  <c r="G102" i="1" s="1"/>
  <c r="E100" i="1"/>
  <c r="G100" i="1" s="1"/>
  <c r="E99" i="1"/>
  <c r="G99" i="1" s="1"/>
  <c r="E98" i="1"/>
  <c r="E101" i="1" s="1"/>
  <c r="G101" i="1" s="1"/>
  <c r="E96" i="1"/>
  <c r="G96" i="1" s="1"/>
  <c r="O96" i="1" s="1"/>
  <c r="E94" i="1"/>
  <c r="G94" i="1" s="1"/>
  <c r="E93" i="1"/>
  <c r="G93" i="1" s="1"/>
  <c r="E92" i="1"/>
  <c r="E95" i="1" s="1"/>
  <c r="G95" i="1" s="1"/>
  <c r="E90" i="1"/>
  <c r="G90" i="1" s="1"/>
  <c r="E88" i="1"/>
  <c r="G88" i="1" s="1"/>
  <c r="E87" i="1"/>
  <c r="G87" i="1" s="1"/>
  <c r="O87" i="1" s="1"/>
  <c r="E86" i="1"/>
  <c r="E89" i="1" s="1"/>
  <c r="G89" i="1" s="1"/>
  <c r="E84" i="1"/>
  <c r="G84" i="1" s="1"/>
  <c r="E82" i="1"/>
  <c r="G82" i="1" s="1"/>
  <c r="E81" i="1"/>
  <c r="G81" i="1" s="1"/>
  <c r="E80" i="1"/>
  <c r="E83" i="1" s="1"/>
  <c r="G83" i="1" s="1"/>
  <c r="O83" i="1" s="1"/>
  <c r="E78" i="1"/>
  <c r="G78" i="1" s="1"/>
  <c r="E76" i="1"/>
  <c r="G76" i="1" s="1"/>
  <c r="E75" i="1"/>
  <c r="G75" i="1" s="1"/>
  <c r="E74" i="1"/>
  <c r="E77" i="1" s="1"/>
  <c r="G77" i="1" s="1"/>
  <c r="O77" i="1" s="1"/>
  <c r="E71" i="1"/>
  <c r="G71" i="1" s="1"/>
  <c r="E69" i="1"/>
  <c r="G69" i="1" s="1"/>
  <c r="E68" i="1"/>
  <c r="G68" i="1" s="1"/>
  <c r="E67" i="1"/>
  <c r="E70" i="1" s="1"/>
  <c r="G70" i="1" s="1"/>
  <c r="E65" i="1"/>
  <c r="G65" i="1" s="1"/>
  <c r="E63" i="1"/>
  <c r="G63" i="1" s="1"/>
  <c r="E62" i="1"/>
  <c r="G62" i="1" s="1"/>
  <c r="E61" i="1"/>
  <c r="E64" i="1" s="1"/>
  <c r="G64" i="1" s="1"/>
  <c r="E58" i="1"/>
  <c r="G58" i="1" s="1"/>
  <c r="E56" i="1"/>
  <c r="G56" i="1" s="1"/>
  <c r="E55" i="1"/>
  <c r="G55" i="1" s="1"/>
  <c r="E54" i="1"/>
  <c r="E57" i="1" s="1"/>
  <c r="G57" i="1" s="1"/>
  <c r="E52" i="1"/>
  <c r="G52" i="1" s="1"/>
  <c r="E50" i="1"/>
  <c r="G50" i="1" s="1"/>
  <c r="Q50" i="1" s="1"/>
  <c r="E49" i="1"/>
  <c r="E51" i="1" s="1"/>
  <c r="G51" i="1" s="1"/>
  <c r="O51" i="1" s="1"/>
  <c r="E47" i="1"/>
  <c r="G47" i="1" s="1"/>
  <c r="E45" i="1"/>
  <c r="G45" i="1" s="1"/>
  <c r="E44" i="1"/>
  <c r="E46" i="1" s="1"/>
  <c r="G46" i="1" s="1"/>
  <c r="E42" i="1"/>
  <c r="G42" i="1" s="1"/>
  <c r="E40" i="1"/>
  <c r="G40" i="1" s="1"/>
  <c r="E39" i="1"/>
  <c r="E41" i="1" s="1"/>
  <c r="G41" i="1" s="1"/>
  <c r="O41" i="1" s="1"/>
  <c r="E37" i="1"/>
  <c r="G37" i="1" s="1"/>
  <c r="E35" i="1"/>
  <c r="G35" i="1" s="1"/>
  <c r="E34" i="1"/>
  <c r="E36" i="1" s="1"/>
  <c r="G36" i="1" s="1"/>
  <c r="E32" i="1"/>
  <c r="G32" i="1" s="1"/>
  <c r="E30" i="1"/>
  <c r="G30" i="1" s="1"/>
  <c r="E29" i="1"/>
  <c r="E31" i="1" s="1"/>
  <c r="G31" i="1" s="1"/>
  <c r="O31" i="1" s="1"/>
  <c r="E27" i="1"/>
  <c r="G27" i="1" s="1"/>
  <c r="E25" i="1"/>
  <c r="G25" i="1" s="1"/>
  <c r="E24" i="1"/>
  <c r="E26" i="1" s="1"/>
  <c r="G26" i="1" s="1"/>
  <c r="E22" i="1"/>
  <c r="G22" i="1" s="1"/>
  <c r="E20" i="1"/>
  <c r="G20" i="1" s="1"/>
  <c r="E19" i="1"/>
  <c r="E21" i="1" s="1"/>
  <c r="G21" i="1" s="1"/>
  <c r="O21" i="1" s="1"/>
  <c r="P20" i="1"/>
  <c r="P9" i="1"/>
  <c r="P10" i="1"/>
  <c r="P11" i="1"/>
  <c r="P12" i="1"/>
  <c r="P13" i="1"/>
  <c r="P14" i="1"/>
  <c r="P8" i="1"/>
  <c r="L20" i="1"/>
  <c r="L14" i="1"/>
  <c r="L13" i="1"/>
  <c r="L12" i="1"/>
  <c r="L11" i="1"/>
  <c r="L10" i="1"/>
  <c r="L9" i="1"/>
  <c r="L8" i="1"/>
  <c r="A253" i="1"/>
  <c r="A252" i="1"/>
  <c r="A234" i="1"/>
  <c r="A233" i="1"/>
  <c r="A232" i="1"/>
  <c r="A231" i="1"/>
  <c r="A230" i="1"/>
  <c r="A219" i="1"/>
  <c r="A218" i="1"/>
  <c r="A217" i="1"/>
  <c r="A216" i="1"/>
  <c r="A215" i="1"/>
  <c r="A18" i="1"/>
  <c r="A17" i="1"/>
  <c r="A16" i="1"/>
  <c r="A15" i="1"/>
  <c r="G14" i="1"/>
  <c r="G13" i="1"/>
  <c r="G12" i="1"/>
  <c r="J12" i="1" s="1"/>
  <c r="M12" i="1" s="1"/>
  <c r="G11" i="1"/>
  <c r="O11" i="1" s="1"/>
  <c r="G10" i="1"/>
  <c r="J10" i="1" s="1"/>
  <c r="M10" i="1" s="1"/>
  <c r="G9" i="1"/>
  <c r="J9" i="1" s="1"/>
  <c r="M9" i="1" s="1"/>
  <c r="G8" i="1"/>
  <c r="A8" i="1"/>
  <c r="Q251" i="1" l="1"/>
  <c r="Q235" i="1"/>
  <c r="Q144" i="1"/>
  <c r="Q22" i="1"/>
  <c r="Q247" i="1"/>
  <c r="J247" i="1"/>
  <c r="M247" i="1" s="1"/>
  <c r="O247" i="1"/>
  <c r="O242" i="1"/>
  <c r="J242" i="1"/>
  <c r="M242" i="1" s="1"/>
  <c r="O236" i="1"/>
  <c r="J236" i="1"/>
  <c r="M236" i="1" s="1"/>
  <c r="J235" i="1"/>
  <c r="M235" i="1" s="1"/>
  <c r="O235" i="1"/>
  <c r="Q211" i="1"/>
  <c r="O205" i="1"/>
  <c r="O206" i="1"/>
  <c r="O222" i="1"/>
  <c r="O209" i="1"/>
  <c r="O203" i="1"/>
  <c r="J221" i="1"/>
  <c r="M221" i="1" s="1"/>
  <c r="O221" i="1"/>
  <c r="O208" i="1"/>
  <c r="J246" i="1"/>
  <c r="M246" i="1" s="1"/>
  <c r="Q208" i="1"/>
  <c r="Q203" i="1"/>
  <c r="Q221" i="1"/>
  <c r="O225" i="1"/>
  <c r="Q240" i="1"/>
  <c r="Q212" i="1"/>
  <c r="Q241" i="1"/>
  <c r="Q242" i="1"/>
  <c r="Q206" i="1"/>
  <c r="Q209" i="1"/>
  <c r="Q225" i="1"/>
  <c r="Q246" i="1"/>
  <c r="Q239" i="1"/>
  <c r="Q205" i="1"/>
  <c r="Q214" i="1"/>
  <c r="O243" i="1"/>
  <c r="O250" i="1"/>
  <c r="Q222" i="1"/>
  <c r="Q226" i="1"/>
  <c r="Q250" i="1"/>
  <c r="Q229" i="1"/>
  <c r="J239" i="1"/>
  <c r="M239" i="1" s="1"/>
  <c r="J251" i="1"/>
  <c r="M251" i="1" s="1"/>
  <c r="O241" i="1"/>
  <c r="Q243" i="1"/>
  <c r="O240" i="1"/>
  <c r="O239" i="1"/>
  <c r="O251" i="1"/>
  <c r="J229" i="1"/>
  <c r="M229" i="1" s="1"/>
  <c r="O202" i="1"/>
  <c r="Q88" i="1"/>
  <c r="O144" i="1"/>
  <c r="Q65" i="1"/>
  <c r="G19" i="1"/>
  <c r="J19" i="1" s="1"/>
  <c r="Q114" i="1"/>
  <c r="Q76" i="1"/>
  <c r="Q30" i="1"/>
  <c r="G110" i="1"/>
  <c r="O56" i="1"/>
  <c r="O94" i="1"/>
  <c r="O118" i="1"/>
  <c r="O132" i="1"/>
  <c r="J132" i="1"/>
  <c r="M132" i="1" s="1"/>
  <c r="Q180" i="1"/>
  <c r="O180" i="1"/>
  <c r="O108" i="1"/>
  <c r="O145" i="1"/>
  <c r="O179" i="1"/>
  <c r="Q190" i="1"/>
  <c r="O36" i="1"/>
  <c r="O47" i="1"/>
  <c r="O64" i="1"/>
  <c r="O89" i="1"/>
  <c r="O101" i="1"/>
  <c r="O113" i="1"/>
  <c r="O135" i="1"/>
  <c r="O146" i="1"/>
  <c r="O158" i="1"/>
  <c r="O169" i="1"/>
  <c r="Q169" i="1"/>
  <c r="O193" i="1"/>
  <c r="Q69" i="1"/>
  <c r="O143" i="1"/>
  <c r="O190" i="1"/>
  <c r="O71" i="1"/>
  <c r="O134" i="1"/>
  <c r="O124" i="1"/>
  <c r="Q136" i="1"/>
  <c r="O136" i="1"/>
  <c r="O26" i="1"/>
  <c r="O37" i="1"/>
  <c r="O63" i="1"/>
  <c r="Q125" i="1"/>
  <c r="O125" i="1"/>
  <c r="O184" i="1"/>
  <c r="O196" i="1"/>
  <c r="Q57" i="1"/>
  <c r="O46" i="1"/>
  <c r="O156" i="1"/>
  <c r="O84" i="1"/>
  <c r="O157" i="1"/>
  <c r="O62" i="1"/>
  <c r="O99" i="1"/>
  <c r="O65" i="1"/>
  <c r="O102" i="1"/>
  <c r="O152" i="1"/>
  <c r="O173" i="1"/>
  <c r="Q146" i="1"/>
  <c r="O82" i="1"/>
  <c r="O130" i="1"/>
  <c r="O140" i="1"/>
  <c r="O187" i="1"/>
  <c r="O199" i="1"/>
  <c r="Q158" i="1"/>
  <c r="O167" i="1"/>
  <c r="O120" i="1"/>
  <c r="O75" i="1"/>
  <c r="O111" i="1"/>
  <c r="O186" i="1"/>
  <c r="O27" i="1"/>
  <c r="O57" i="1"/>
  <c r="Q95" i="1"/>
  <c r="O95" i="1"/>
  <c r="O93" i="1"/>
  <c r="Q105" i="1"/>
  <c r="O105" i="1"/>
  <c r="O165" i="1"/>
  <c r="O175" i="1"/>
  <c r="Q68" i="1"/>
  <c r="Q25" i="1"/>
  <c r="Q99" i="1"/>
  <c r="Q101" i="1"/>
  <c r="Q131" i="1"/>
  <c r="Q142" i="1"/>
  <c r="Q156" i="1"/>
  <c r="Q196" i="1"/>
  <c r="O19" i="1"/>
  <c r="Q56" i="1"/>
  <c r="Q63" i="1"/>
  <c r="Q84" i="1"/>
  <c r="Q87" i="1"/>
  <c r="Q89" i="1"/>
  <c r="Q94" i="1"/>
  <c r="Q96" i="1"/>
  <c r="Q119" i="1"/>
  <c r="J154" i="1"/>
  <c r="M154" i="1" s="1"/>
  <c r="Q184" i="1"/>
  <c r="Q186" i="1"/>
  <c r="Q191" i="1"/>
  <c r="Q35" i="1"/>
  <c r="Q70" i="1"/>
  <c r="Q193" i="1"/>
  <c r="G24" i="1"/>
  <c r="O30" i="1"/>
  <c r="O40" i="1"/>
  <c r="G44" i="1"/>
  <c r="O44" i="1" s="1"/>
  <c r="O50" i="1"/>
  <c r="G54" i="1"/>
  <c r="O54" i="1" s="1"/>
  <c r="O76" i="1"/>
  <c r="Q81" i="1"/>
  <c r="G86" i="1"/>
  <c r="G98" i="1"/>
  <c r="O112" i="1"/>
  <c r="O114" i="1"/>
  <c r="Q134" i="1"/>
  <c r="O168" i="1"/>
  <c r="Q173" i="1"/>
  <c r="Q175" i="1"/>
  <c r="Q179" i="1"/>
  <c r="Q181" i="1"/>
  <c r="Q27" i="1"/>
  <c r="G34" i="1"/>
  <c r="Q37" i="1"/>
  <c r="Q40" i="1"/>
  <c r="Q47" i="1"/>
  <c r="Q62" i="1"/>
  <c r="G67" i="1"/>
  <c r="Q78" i="1"/>
  <c r="Q100" i="1"/>
  <c r="Q112" i="1"/>
  <c r="Q163" i="1"/>
  <c r="Q165" i="1"/>
  <c r="Q168" i="1"/>
  <c r="Q170" i="1"/>
  <c r="G178" i="1"/>
  <c r="Q178" i="1" s="1"/>
  <c r="G183" i="1"/>
  <c r="Q195" i="1"/>
  <c r="Q45" i="1"/>
  <c r="G29" i="1"/>
  <c r="Q29" i="1" s="1"/>
  <c r="G39" i="1"/>
  <c r="Q39" i="1" s="1"/>
  <c r="G49" i="1"/>
  <c r="Q49" i="1" s="1"/>
  <c r="Q55" i="1"/>
  <c r="G80" i="1"/>
  <c r="O80" i="1" s="1"/>
  <c r="Q90" i="1"/>
  <c r="Q102" i="1"/>
  <c r="Q152" i="1"/>
  <c r="Q154" i="1"/>
  <c r="Q157" i="1"/>
  <c r="Q159" i="1"/>
  <c r="Q185" i="1"/>
  <c r="Q199" i="1"/>
  <c r="Q26" i="1"/>
  <c r="Q36" i="1"/>
  <c r="Q46" i="1"/>
  <c r="G61" i="1"/>
  <c r="Q64" i="1"/>
  <c r="Q71" i="1"/>
  <c r="Q83" i="1"/>
  <c r="G92" i="1"/>
  <c r="Q93" i="1"/>
  <c r="G104" i="1"/>
  <c r="G116" i="1"/>
  <c r="O116" i="1" s="1"/>
  <c r="Q130" i="1"/>
  <c r="Q140" i="1"/>
  <c r="Q143" i="1"/>
  <c r="Q145" i="1"/>
  <c r="Q147" i="1"/>
  <c r="Q174" i="1"/>
  <c r="Q187" i="1"/>
  <c r="Q106" i="1"/>
  <c r="Q21" i="1"/>
  <c r="Q41" i="1"/>
  <c r="Q51" i="1"/>
  <c r="G74" i="1"/>
  <c r="Q118" i="1"/>
  <c r="Q120" i="1"/>
  <c r="Q124" i="1"/>
  <c r="Q126" i="1"/>
  <c r="Q132" i="1"/>
  <c r="Q135" i="1"/>
  <c r="Q138" i="1"/>
  <c r="Q164" i="1"/>
  <c r="G189" i="1"/>
  <c r="Q31" i="1"/>
  <c r="Q75" i="1"/>
  <c r="Q77" i="1"/>
  <c r="Q82" i="1"/>
  <c r="Q108" i="1"/>
  <c r="Q111" i="1"/>
  <c r="Q113" i="1"/>
  <c r="G123" i="1"/>
  <c r="Q123" i="1" s="1"/>
  <c r="Q153" i="1"/>
  <c r="Q167" i="1"/>
  <c r="Q198" i="1"/>
  <c r="Q58" i="1"/>
  <c r="O70" i="1"/>
  <c r="O81" i="1"/>
  <c r="O90" i="1"/>
  <c r="O100" i="1"/>
  <c r="O119" i="1"/>
  <c r="O131" i="1"/>
  <c r="O142" i="1"/>
  <c r="O153" i="1"/>
  <c r="O164" i="1"/>
  <c r="O174" i="1"/>
  <c r="O185" i="1"/>
  <c r="O195" i="1"/>
  <c r="O69" i="1"/>
  <c r="O68" i="1"/>
  <c r="O78" i="1"/>
  <c r="O88" i="1"/>
  <c r="O98" i="1"/>
  <c r="O107" i="1"/>
  <c r="O117" i="1"/>
  <c r="O127" i="1"/>
  <c r="O139" i="1"/>
  <c r="O151" i="1"/>
  <c r="O162" i="1"/>
  <c r="O172" i="1"/>
  <c r="O183" i="1"/>
  <c r="O192" i="1"/>
  <c r="Q107" i="1"/>
  <c r="Q117" i="1"/>
  <c r="Q127" i="1"/>
  <c r="Q139" i="1"/>
  <c r="Q151" i="1"/>
  <c r="Q162" i="1"/>
  <c r="Q172" i="1"/>
  <c r="Q183" i="1"/>
  <c r="Q192" i="1"/>
  <c r="O58" i="1"/>
  <c r="J22" i="1"/>
  <c r="M22" i="1" s="1"/>
  <c r="O35" i="1"/>
  <c r="O24" i="1"/>
  <c r="J21" i="1"/>
  <c r="M21" i="1" s="1"/>
  <c r="O45" i="1"/>
  <c r="O55" i="1"/>
  <c r="O22" i="1"/>
  <c r="O32" i="1"/>
  <c r="O42" i="1"/>
  <c r="O52" i="1"/>
  <c r="O25" i="1"/>
  <c r="Q32" i="1"/>
  <c r="Q42" i="1"/>
  <c r="Q52" i="1"/>
  <c r="J8" i="1"/>
  <c r="M8" i="1" s="1"/>
  <c r="O8" i="1"/>
  <c r="O9" i="1"/>
  <c r="O13" i="1"/>
  <c r="J13" i="1"/>
  <c r="M13" i="1" s="1"/>
  <c r="J11" i="1"/>
  <c r="M11" i="1" s="1"/>
  <c r="O14" i="1"/>
  <c r="J14" i="1"/>
  <c r="M14" i="1" s="1"/>
  <c r="J20" i="1"/>
  <c r="M20" i="1" s="1"/>
  <c r="O20" i="1"/>
  <c r="Q20" i="1" s="1"/>
  <c r="O10" i="1"/>
  <c r="O12" i="1"/>
  <c r="A9" i="1"/>
  <c r="C7" i="4" l="1"/>
  <c r="C8" i="4"/>
  <c r="M19" i="1"/>
  <c r="O67" i="1"/>
  <c r="A10" i="1"/>
  <c r="Q54" i="1"/>
  <c r="O34" i="1"/>
  <c r="O110" i="1"/>
  <c r="Q19" i="1"/>
  <c r="Q110" i="1"/>
  <c r="Q34" i="1"/>
  <c r="Q67" i="1"/>
  <c r="O61" i="1"/>
  <c r="O104" i="1"/>
  <c r="Q104" i="1"/>
  <c r="Q86" i="1"/>
  <c r="O86" i="1"/>
  <c r="Q24" i="1"/>
  <c r="O29" i="1"/>
  <c r="O254" i="1" s="1"/>
  <c r="O92" i="1"/>
  <c r="O189" i="1"/>
  <c r="O74" i="1"/>
  <c r="Q80" i="1"/>
  <c r="O39" i="1"/>
  <c r="Q98" i="1"/>
  <c r="O123" i="1"/>
  <c r="Q61" i="1"/>
  <c r="O178" i="1"/>
  <c r="Q74" i="1"/>
  <c r="Q116" i="1"/>
  <c r="O49" i="1"/>
  <c r="Q44" i="1"/>
  <c r="Q189" i="1"/>
  <c r="Q92" i="1"/>
  <c r="C5" i="4"/>
  <c r="A11" i="1"/>
  <c r="C6" i="4" l="1"/>
  <c r="J254" i="1"/>
  <c r="M254" i="1"/>
  <c r="A12" i="1"/>
  <c r="Q255" i="1" l="1"/>
  <c r="C9" i="4"/>
  <c r="C12" i="4" s="1"/>
  <c r="A13" i="1"/>
  <c r="Q257" i="1" l="1"/>
  <c r="Q260" i="1"/>
  <c r="Q256" i="1"/>
  <c r="Q258" i="1"/>
  <c r="Q259" i="1"/>
  <c r="C11" i="4"/>
  <c r="C13" i="4"/>
  <c r="C15" i="4"/>
  <c r="C14" i="4"/>
  <c r="A14" i="1"/>
  <c r="Q261" i="1" l="1"/>
  <c r="A19" i="1"/>
  <c r="A20" i="1"/>
  <c r="C16" i="4"/>
  <c r="B3" i="4" s="1"/>
  <c r="A21" i="1" l="1"/>
  <c r="A22" i="1"/>
  <c r="A220" i="1"/>
  <c r="A24" i="1" l="1"/>
  <c r="A25" i="1" l="1"/>
  <c r="A26" i="1" l="1"/>
  <c r="A27" i="1" l="1"/>
  <c r="A29" i="1" l="1"/>
  <c r="A30" i="1" l="1"/>
  <c r="A31" i="1" l="1"/>
  <c r="A32" i="1" s="1"/>
  <c r="A34" i="1" s="1"/>
  <c r="A35" i="1" l="1"/>
  <c r="A36" i="1" s="1"/>
  <c r="A37" i="1"/>
  <c r="A39" i="1" s="1"/>
  <c r="A40" i="1" s="1"/>
  <c r="A41" i="1" s="1"/>
  <c r="A42" i="1" s="1"/>
  <c r="A44" i="1" s="1"/>
  <c r="A45" i="1" s="1"/>
  <c r="A46" i="1" s="1"/>
  <c r="A47" i="1" s="1"/>
  <c r="A49" i="1" s="1"/>
  <c r="A50" i="1" s="1"/>
  <c r="A51" i="1" s="1"/>
  <c r="A52" i="1" s="1"/>
  <c r="A54" i="1" s="1"/>
  <c r="A55" i="1" s="1"/>
  <c r="A56" i="1" s="1"/>
  <c r="A57" i="1" s="1"/>
  <c r="A58" i="1" s="1"/>
  <c r="A61" i="1" s="1"/>
  <c r="A62" i="1" s="1"/>
  <c r="A63" i="1" s="1"/>
  <c r="A64" i="1" s="1"/>
  <c r="A65" i="1" s="1"/>
  <c r="A67" i="1" s="1"/>
  <c r="A68" i="1" s="1"/>
  <c r="A69" i="1" s="1"/>
  <c r="A70" i="1" s="1"/>
  <c r="A71" i="1" s="1"/>
  <c r="A74" i="1" s="1"/>
  <c r="A75" i="1" s="1"/>
  <c r="A76" i="1" s="1"/>
  <c r="A77" i="1" s="1"/>
  <c r="A78" i="1" s="1"/>
  <c r="A80" i="1" s="1"/>
  <c r="A81" i="1" s="1"/>
  <c r="A82" i="1" s="1"/>
  <c r="A83" i="1" s="1"/>
  <c r="A84" i="1" s="1"/>
  <c r="A86" i="1" s="1"/>
  <c r="A87" i="1" s="1"/>
  <c r="A88" i="1" s="1"/>
  <c r="A89" i="1" s="1"/>
  <c r="A90" i="1" s="1"/>
  <c r="A92" i="1" s="1"/>
  <c r="A93" i="1" s="1"/>
  <c r="A94" i="1" s="1"/>
  <c r="A95" i="1" s="1"/>
  <c r="A96" i="1" s="1"/>
  <c r="A98" i="1" s="1"/>
  <c r="A99" i="1" s="1"/>
  <c r="A100" i="1" s="1"/>
  <c r="A101" i="1" s="1"/>
  <c r="A102" i="1" s="1"/>
  <c r="A104" i="1" s="1"/>
  <c r="A105" i="1" s="1"/>
  <c r="A106" i="1" s="1"/>
  <c r="A107" i="1" s="1"/>
  <c r="A108" i="1" s="1"/>
  <c r="A110" i="1" s="1"/>
  <c r="A111" i="1" s="1"/>
  <c r="A112" i="1" s="1"/>
  <c r="A113" i="1" s="1"/>
  <c r="A114" i="1" s="1"/>
  <c r="A116" i="1" s="1"/>
  <c r="A117" i="1" s="1"/>
  <c r="A118" i="1" s="1"/>
  <c r="A119" i="1" s="1"/>
  <c r="A120" i="1" s="1"/>
  <c r="A123" i="1" s="1"/>
  <c r="A124" i="1" s="1"/>
  <c r="A125" i="1" s="1"/>
  <c r="A126" i="1" s="1"/>
  <c r="A127" i="1" s="1"/>
  <c r="A130" i="1" s="1"/>
  <c r="A131" i="1" s="1"/>
  <c r="A132" i="1" s="1"/>
  <c r="A134" i="1" s="1"/>
  <c r="A135" i="1" s="1"/>
  <c r="A136" i="1" s="1"/>
  <c r="A138" i="1" s="1"/>
  <c r="A139" i="1" s="1"/>
  <c r="A140" i="1" s="1"/>
  <c r="A142" i="1" s="1"/>
  <c r="A143" i="1" s="1"/>
  <c r="A144" i="1" s="1"/>
  <c r="A145" i="1" s="1"/>
  <c r="A146" i="1" s="1"/>
  <c r="A147" i="1" s="1"/>
  <c r="A151" i="1" s="1"/>
  <c r="A152" i="1" s="1"/>
  <c r="A153" i="1" s="1"/>
  <c r="A154" i="1" s="1"/>
  <c r="A156" i="1" s="1"/>
  <c r="A157" i="1" s="1"/>
  <c r="A158" i="1" s="1"/>
  <c r="A159" i="1" s="1"/>
  <c r="A162" i="1" s="1"/>
  <c r="A163" i="1" s="1"/>
  <c r="A164" i="1" s="1"/>
  <c r="A165" i="1" s="1"/>
  <c r="A167" i="1" s="1"/>
  <c r="A168" i="1" s="1"/>
  <c r="A169" i="1" s="1"/>
  <c r="A170" i="1" s="1"/>
  <c r="A172" i="1" s="1"/>
  <c r="A173" i="1" s="1"/>
  <c r="A174" i="1" s="1"/>
  <c r="A175" i="1" s="1"/>
  <c r="A178" i="1" s="1"/>
  <c r="A179" i="1" s="1"/>
  <c r="A180" i="1" s="1"/>
  <c r="A181" i="1" s="1"/>
  <c r="A183" i="1" s="1"/>
  <c r="A184" i="1" s="1"/>
  <c r="A185" i="1" s="1"/>
  <c r="A186" i="1" s="1"/>
  <c r="A187" i="1" s="1"/>
  <c r="A189" i="1" s="1"/>
  <c r="A190" i="1" s="1"/>
  <c r="A191" i="1" s="1"/>
  <c r="A192" i="1" s="1"/>
  <c r="A193" i="1" s="1"/>
  <c r="A195" i="1" s="1"/>
  <c r="A196" i="1" s="1"/>
  <c r="A198" i="1" s="1"/>
  <c r="A199" i="1" s="1"/>
  <c r="A202" i="1" s="1"/>
  <c r="A203" i="1" s="1"/>
  <c r="A205" i="1" s="1"/>
  <c r="A206" i="1" s="1"/>
  <c r="A208" i="1" s="1"/>
  <c r="A209" i="1" s="1"/>
  <c r="A211" i="1" s="1"/>
  <c r="A212" i="1" s="1"/>
  <c r="A214" i="1" s="1"/>
  <c r="A221" i="1" s="1"/>
  <c r="A222" i="1" l="1"/>
  <c r="A225" i="1" l="1"/>
  <c r="A226" i="1"/>
  <c r="A229" i="1" l="1"/>
  <c r="A235" i="1" s="1"/>
  <c r="A236" i="1" l="1"/>
  <c r="A239" i="1" s="1"/>
  <c r="A240" i="1" s="1"/>
  <c r="A241" i="1" s="1"/>
  <c r="A242" i="1" s="1"/>
  <c r="A243" i="1" s="1"/>
  <c r="A246" i="1" s="1"/>
  <c r="A247" i="1" s="1"/>
  <c r="A250" i="1" s="1"/>
  <c r="A251" i="1" s="1"/>
</calcChain>
</file>

<file path=xl/sharedStrings.xml><?xml version="1.0" encoding="utf-8"?>
<sst xmlns="http://schemas.openxmlformats.org/spreadsheetml/2006/main" count="509" uniqueCount="240">
  <si>
    <t>GENERAL SUMMARY</t>
  </si>
  <si>
    <t>DIVISION NO.</t>
  </si>
  <si>
    <t>DESCRIPTION</t>
  </si>
  <si>
    <t>TOTAL DIV. COST</t>
  </si>
  <si>
    <t>General Requirments</t>
  </si>
  <si>
    <t>Concrete</t>
  </si>
  <si>
    <t>Masonry</t>
  </si>
  <si>
    <t>Wood &amp; Plastics</t>
  </si>
  <si>
    <t>Plumbing</t>
  </si>
  <si>
    <t>Electrical</t>
  </si>
  <si>
    <t>Earthwork</t>
  </si>
  <si>
    <t>TOTAL TRADE COST</t>
  </si>
  <si>
    <t>CONTINGENCY</t>
  </si>
  <si>
    <t>TAX (8.5%)</t>
  </si>
  <si>
    <t>PERFORMANCE AND PAYMENT BONDS</t>
  </si>
  <si>
    <t>TOTAL BASEBID</t>
  </si>
  <si>
    <t>DETAILED BREAKDOWN OF ITEMS</t>
  </si>
  <si>
    <t>Project Name</t>
  </si>
  <si>
    <t>Project Address</t>
  </si>
  <si>
    <t>Scope:</t>
  </si>
  <si>
    <t>S#</t>
  </si>
  <si>
    <t>Dwg.</t>
  </si>
  <si>
    <t>CSI NO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</si>
  <si>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</si>
  <si>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</si>
  <si>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</si>
  <si>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</si>
  <si>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</si>
  <si>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</si>
  <si>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</si>
  <si>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TOTAL LABOR COST</t>
  </si>
  <si>
    <t>UNIT MATERIAL  COST</t>
  </si>
  <si>
    <t>TOTAL MATERIAL COST</t>
  </si>
  <si>
    <t>UNIT LABOR COST</t>
  </si>
  <si>
    <t>TRADE 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</si>
  <si>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</si>
  <si>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</si>
  <si>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</si>
  <si>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</si>
  <si>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</si>
  <si>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</si>
  <si>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</si>
  <si>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</si>
  <si>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</si>
  <si>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SUBTOTAL</t>
  </si>
  <si>
    <t>DIVISION 03- CONCRETE</t>
  </si>
  <si>
    <t>CY</t>
  </si>
  <si>
    <t>LBS</t>
  </si>
  <si>
    <t>Formwork</t>
  </si>
  <si>
    <t>SF</t>
  </si>
  <si>
    <t>Excavation</t>
  </si>
  <si>
    <t>EA</t>
  </si>
  <si>
    <t>DIVISION 04-MASONRY</t>
  </si>
  <si>
    <t>LF</t>
  </si>
  <si>
    <t>DIVISION 06- WOOD, PLASTIC &amp; COMPOSITES</t>
  </si>
  <si>
    <t>TOTAL AMOUNT</t>
  </si>
  <si>
    <t>CONTIGENCIES (5%)</t>
  </si>
  <si>
    <t>Labor Type</t>
  </si>
  <si>
    <t>Labor Rate</t>
  </si>
  <si>
    <t>Carpenter</t>
  </si>
  <si>
    <t>CARP</t>
  </si>
  <si>
    <t>Plum</t>
  </si>
  <si>
    <t>Mechanical</t>
  </si>
  <si>
    <t>Mech</t>
  </si>
  <si>
    <t>Elec</t>
  </si>
  <si>
    <t>Q14C</t>
  </si>
  <si>
    <t>Drywaller</t>
  </si>
  <si>
    <t>Finisher</t>
  </si>
  <si>
    <t>Painting</t>
  </si>
  <si>
    <t>Painter</t>
  </si>
  <si>
    <t>Tile Contractor</t>
  </si>
  <si>
    <t>Tilf</t>
  </si>
  <si>
    <t>CMU/Stone</t>
  </si>
  <si>
    <t>D8</t>
  </si>
  <si>
    <t>B14S</t>
  </si>
  <si>
    <t>Misc</t>
  </si>
  <si>
    <t>Labor</t>
  </si>
  <si>
    <t>Manhour Increase Factor</t>
  </si>
  <si>
    <t>Each/Count</t>
  </si>
  <si>
    <t>Linear Footage</t>
  </si>
  <si>
    <t>Square Footage</t>
  </si>
  <si>
    <t>Square Yard</t>
  </si>
  <si>
    <t>SY</t>
  </si>
  <si>
    <t>Cubic Yard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</si>
  <si>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</si>
  <si>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</si>
  <si>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</si>
  <si>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</si>
  <si>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</si>
  <si>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</si>
  <si>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</si>
  <si>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</si>
  <si>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</si>
  <si>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</si>
  <si>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</si>
  <si>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</si>
  <si>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</si>
  <si>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</si>
  <si>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</si>
  <si>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</si>
  <si>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</si>
  <si>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</si>
  <si>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</si>
  <si>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</si>
  <si>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</si>
  <si>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</si>
  <si>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</si>
  <si>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</si>
  <si>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</si>
  <si>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</si>
  <si>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</si>
  <si>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</si>
  <si>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</si>
  <si>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</si>
  <si>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</si>
  <si>
    <t>UNIT PRICE (Labor &amp; Material)</t>
  </si>
  <si>
    <t>Metal</t>
  </si>
  <si>
    <t>Steel</t>
  </si>
  <si>
    <t>Roofer</t>
  </si>
  <si>
    <t>Roofing</t>
  </si>
  <si>
    <t>Genral Labor</t>
  </si>
  <si>
    <t>Exterior Improvement</t>
  </si>
  <si>
    <t>B15S</t>
  </si>
  <si>
    <t>OVERHEAD (10%)</t>
  </si>
  <si>
    <t>PROFIT (10%)</t>
  </si>
  <si>
    <t>BUILDING GSF</t>
  </si>
  <si>
    <t>COST PER SF</t>
  </si>
  <si>
    <t>TOTAL LABOR HOURS</t>
  </si>
  <si>
    <t>NOTE:</t>
  </si>
  <si>
    <t>Material pricing is based on current market rates sourced from reputable online platforms and suppliers.</t>
  </si>
  <si>
    <t>Please note that actual costs may vary depending on site-specific conditions, unforeseen circumstances, or changes in market conditions.</t>
  </si>
  <si>
    <t>Prevailing wages have been included in this estimate in compliance with the Davis-Bacon Act.</t>
  </si>
  <si>
    <t>Pad Footing</t>
  </si>
  <si>
    <t>F1 - (3'-0"W x 3'-0"L x 1'-6"D) Concrete Pad Footing (4 EA)</t>
  </si>
  <si>
    <t>(4)#5 Rebar @ Each Way</t>
  </si>
  <si>
    <t>F2 - (4'-6"W x 4'-6"L x 1'-6"D) Concrete Pad Footing (19 EA)</t>
  </si>
  <si>
    <t>(5)#5 Rebar @ Each Way</t>
  </si>
  <si>
    <t>F3 - (6'-0"W x 6'-0"L x 2'-0"D) Concrete Pad Footing (8 EA)</t>
  </si>
  <si>
    <t>(6)#6 Rebar @ Each Way</t>
  </si>
  <si>
    <t>F4 - (7'-0"W x 7'-0"L x 2'-0"D) Concrete Pad Footing (11 EA)</t>
  </si>
  <si>
    <t>(7)#6 Rebar @ Each Way</t>
  </si>
  <si>
    <t>F5 - (8'-0"W x 8'-0"L x 2'-0"D) Concrete Pad Footing (29 EA)</t>
  </si>
  <si>
    <t>(7)#7 Rebar @ Each Way</t>
  </si>
  <si>
    <t>F6 - (9'-0"W x 9'-0"L x 2'-0"D) Concrete Pad Footing (47 EA)</t>
  </si>
  <si>
    <t>(9)#7 Rebar @ Each Way</t>
  </si>
  <si>
    <t>(3'-0"W x 3'-0"L x 1'-7"D) Concrete Column Pad Footing (1 EA)</t>
  </si>
  <si>
    <t>(4)#4 Rebar @ Each Way</t>
  </si>
  <si>
    <t>(4'-0"W x 6'-0"L x 1'-6"D) Concrete Canopy Pad (5 EA)</t>
  </si>
  <si>
    <t>(6)#5 Cont. Rebar</t>
  </si>
  <si>
    <t>#3 Stirrups @ 10" O.C.</t>
  </si>
  <si>
    <t>Pier</t>
  </si>
  <si>
    <t>(24"W x 24"L x 20"D) Concrete Pier (29 EA)</t>
  </si>
  <si>
    <t>(10)#5 Vert. Rebar</t>
  </si>
  <si>
    <t>#3 Ties @ 10" O.C.</t>
  </si>
  <si>
    <t>(24"W x 24"L x 32"D) Concrete Pier (20 EA)</t>
  </si>
  <si>
    <t>Grade Beam</t>
  </si>
  <si>
    <t>(8"W x 12"D) Concrete Grade Beam (90 LF)</t>
  </si>
  <si>
    <t>(4)#5 Rebar Cont.</t>
  </si>
  <si>
    <t>#3 Stirrups @ 24" O.C.</t>
  </si>
  <si>
    <t>(1'-0"W x 2'-0"D) Concrete Grade Beam (229 LF)</t>
  </si>
  <si>
    <t>(4)#6 Cont. Rebar</t>
  </si>
  <si>
    <t>#3 Stirrups @ 18" O.C.</t>
  </si>
  <si>
    <t>(1'-4"W x 2'-0"D) Concrete Grade Beam (884 LF)</t>
  </si>
  <si>
    <t>(6)#6 Cont. Rebar</t>
  </si>
  <si>
    <t>(1'-4"W x 2'-9"D) Concrete Grade Beam (104 LF)</t>
  </si>
  <si>
    <t>(1'-4"W x 5'-4"D) Concrete Grade Beam (90 LF)</t>
  </si>
  <si>
    <t>(12)#6 Cont. Rebar</t>
  </si>
  <si>
    <t>(1'-0"W x 7'-4"D) Concrete Grade Beam (24 LF)</t>
  </si>
  <si>
    <t>(1'-4"W x 7'-4"D) Concrete Grade Beam (83 LF)</t>
  </si>
  <si>
    <t>(2'-0"W x 2'-0"D) Concrete Grade Beam (151 LF)</t>
  </si>
  <si>
    <t>(8)#6 Cont. Rebar</t>
  </si>
  <si>
    <t>Slab Edge Footing</t>
  </si>
  <si>
    <t>(6"W x 3"D) Concrete Slab Edge Footing (1035 LF)</t>
  </si>
  <si>
    <t>(1)#5 Cont. Rebar</t>
  </si>
  <si>
    <t>#4 Dowels @ 24" O.C.</t>
  </si>
  <si>
    <t>Slab</t>
  </si>
  <si>
    <t>(5" Thick) Concrete Slab On Grade Reinf (73179 SF)</t>
  </si>
  <si>
    <t>#3 Rebar @ 16" O.C.</t>
  </si>
  <si>
    <t>Control Joint At Every Col Grid @ 15'-0" O.C. Each Way</t>
  </si>
  <si>
    <t>(6" Thick) Concrete Slab On Grade Reinf (2398 SF)</t>
  </si>
  <si>
    <t>(7" Thick) Truck Dock Concrete Slab On Grade (2635 SF)</t>
  </si>
  <si>
    <t>#4 Rebar @ 12" O.C.</t>
  </si>
  <si>
    <t>(6" Thick) Concrete Slab Reinf (838 SF)</t>
  </si>
  <si>
    <t>#4 Rebar @ 16" O.C. Each Way</t>
  </si>
  <si>
    <t>6" Highload 100 Psi Polystyrene Insulation</t>
  </si>
  <si>
    <t>(5" Thick) Concrete Slab In Fill Reinf</t>
  </si>
  <si>
    <t>Wall</t>
  </si>
  <si>
    <t>Truck Dock Wall (200 LF) (6'-0" H)</t>
  </si>
  <si>
    <t>(12" Thick) Concrete Wall</t>
  </si>
  <si>
    <t>#5 Vert. Rebar @ 12" O.C.</t>
  </si>
  <si>
    <t>#5 Hori. Rebar @ 12" O.C.</t>
  </si>
  <si>
    <t>(7 1/4" Thick) Concrete Tilt Wall Panel (28109 SF)</t>
  </si>
  <si>
    <t>#5 Vert. Rebar @ 10" O.C.</t>
  </si>
  <si>
    <t>#4 Hori. Rebar @ 12" O.C.</t>
  </si>
  <si>
    <t>Curb</t>
  </si>
  <si>
    <t>(10"W x 12"D) Concrete Curb (35 LF)</t>
  </si>
  <si>
    <t>(2)#5 Cont. Rebar</t>
  </si>
  <si>
    <t>(12"W x 8"D) Concrete Curb (116 LF)</t>
  </si>
  <si>
    <t>(12"W x 12"D) Concrete Curb (235 LF)</t>
  </si>
  <si>
    <t>Generator Enclosure</t>
  </si>
  <si>
    <t>F2 - (4'-6"W x 4'-6"L x 1'-6"D) Concrete Pad Footing (14 EA)</t>
  </si>
  <si>
    <t>(1'-4"W x 2'-0"D) Concrete Grade Beam (21 LF)</t>
  </si>
  <si>
    <t>(1'-8"W x 2'-0"D) Concrete Grade Beam (207 LF)</t>
  </si>
  <si>
    <t>(5" Thick) Concrete Slab On Fill Reinf (1383 SF)</t>
  </si>
  <si>
    <t>#3 Rebar @ 16" O.C. Each Way</t>
  </si>
  <si>
    <t>(12" Thick) Concrete Slab On Fill Reinf (584 SF)</t>
  </si>
  <si>
    <t>2 Layers #5 Rebar @ 12" O.C. Each Way</t>
  </si>
  <si>
    <t xml:space="preserve">Wall </t>
  </si>
  <si>
    <t xml:space="preserve">CMU Wall (11'-4"H) (113 LF) </t>
  </si>
  <si>
    <t xml:space="preserve">8" Thk CMU Wall </t>
  </si>
  <si>
    <t>#5 Rebar @ 10" O.C</t>
  </si>
  <si>
    <t>Beam</t>
  </si>
  <si>
    <t xml:space="preserve">(8" x 12") CMU Bond Beam </t>
  </si>
  <si>
    <t>Masonry Stone</t>
  </si>
  <si>
    <t xml:space="preserve">ST-1 - Cultured Filed Stone - Mfg: Lone Star Stone </t>
  </si>
  <si>
    <t>Trim</t>
  </si>
  <si>
    <t>1x4 Rough Cedar Wood Trim</t>
  </si>
  <si>
    <t>2x12 F.R.T. Wall Wood Bumper</t>
  </si>
  <si>
    <t>Blocking</t>
  </si>
  <si>
    <t>2x6 Blocking @ Shelf</t>
  </si>
  <si>
    <t>2x6 Blocking @ Millwork</t>
  </si>
  <si>
    <t>2x6 Wood Blocking @ Fascia</t>
  </si>
  <si>
    <t>2x8 Treated Wood Blocking b/w Studs @ Behind Wood Bumper</t>
  </si>
  <si>
    <t>2x6 Blocking @ Fixture Accessories</t>
  </si>
  <si>
    <t>Plywood</t>
  </si>
  <si>
    <t>5/8" FRT Plywood Behind Slat Wall</t>
  </si>
  <si>
    <t>5/8" FRT Plywood Sheathing Behind Locker</t>
  </si>
  <si>
    <t>Millwork</t>
  </si>
  <si>
    <t>(2'-0" D) Plastic Laminate Cabinet (TBC)</t>
  </si>
  <si>
    <t>(1'-0" D) Plastic Laminate Floating Shelf (TBC)</t>
  </si>
  <si>
    <t>Site Work</t>
  </si>
  <si>
    <t>6" Thk Concrete Pavement @ 4500 PSI (450182 SF)</t>
  </si>
  <si>
    <t>#3 Reinforcing Steel Grade 60 @ 16" O.C</t>
  </si>
  <si>
    <t>6" Thk Concrete Side Walk  @ 4500 PSI (19131 SF)</t>
  </si>
  <si>
    <t>6" Thk Concrete Walkway @ 4500 PSI (18185 SF)</t>
  </si>
  <si>
    <t>6" Thk Fuel Canopy Concrete Pavement @ 4500 PSI (61020 SF)</t>
  </si>
  <si>
    <t>6" Thk Concrete Curb (9335 LF)</t>
  </si>
  <si>
    <t>Selective Scope</t>
  </si>
  <si>
    <t>ABC</t>
  </si>
  <si>
    <t>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</si>
</sst>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000000"/>
    <numFmt numFmtId="166" formatCode="0.000"/>
    <numFmt numFmtId="167" formatCode="0.0"/>
    <numFmt numFmtId="168" formatCode="_(&quot;$&quot;* #,##0.0_);_(&quot;$&quot;* \(#,##0.0\);_(&quot;$&quot;* &quot;-&quot;??_);_(@_)"/>
    <numFmt numFmtId="169" formatCode="_(&quot;$&quot;* #,##0_);_(&quot;$&quot;* \(#,##0\);_(&quot;$&quot;* &quot;-&quot;??_);_(@_)"/>
    <numFmt numFmtId="170" formatCode="[$-409]d\-mmm\-yy;@"/>
    <numFmt numFmtId="171" formatCode="0.0%"/>
    <numFmt numFmtId="172" formatCode="_-[$$-409]* #,##0.00_ ;_-[$$-409]* \-#,##0.00\ ;_-[$$-409]* &quot;-&quot;??_ ;_-@_ "/>
  </numFmts>
  <fonts count="37">
    <font>
      <sz val="11"/>
      <color theme="1"/>
      <name val="Tw Cen MT"/>
      <charset val="134"/>
      <scheme val="minor"/>
    </font>
    <font>
      <sz val="11"/>
      <color theme="1"/>
      <name val="Tw Cen MT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w Cen MT"/>
      <family val="2"/>
      <scheme val="minor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theme="1"/>
      <name val="Tw Cen MT"/>
      <family val="2"/>
      <scheme val="minor"/>
    </font>
    <font>
      <sz val="12"/>
      <color theme="1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b/>
      <sz val="12"/>
      <color theme="6"/>
      <name val="Calibri"/>
      <family val="2"/>
    </font>
    <font>
      <b/>
      <sz val="14"/>
      <name val="Calibri"/>
      <family val="2"/>
    </font>
    <font>
      <b/>
      <sz val="12"/>
      <color rgb="FF009A88"/>
      <name val="Calibri"/>
      <family val="2"/>
    </font>
    <font>
      <b/>
      <sz val="12"/>
      <name val="Calibri"/>
      <family val="2"/>
    </font>
    <font>
      <sz val="12"/>
      <color rgb="FFFFFFFF"/>
      <name val="Calibri"/>
      <family val="2"/>
    </font>
    <font>
      <b/>
      <sz val="12"/>
      <color rgb="FFFFFFFF"/>
      <name val="Calibri"/>
      <family val="2"/>
    </font>
    <font>
      <sz val="12"/>
      <color indexed="9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indexed="8"/>
      <name val="Calibri"/>
      <family val="2"/>
    </font>
    <font>
      <b/>
      <sz val="12"/>
      <color indexed="9"/>
      <name val="Calibri"/>
      <family val="2"/>
    </font>
    <font>
      <sz val="12"/>
      <color indexed="8"/>
      <name val="Calibri"/>
      <family val="2"/>
    </font>
    <font>
      <b/>
      <sz val="12"/>
      <color rgb="FF0000CC"/>
      <name val="Calibri"/>
      <family val="2"/>
    </font>
    <font>
      <sz val="12"/>
      <color rgb="FF0C0C0C"/>
      <name val="Calibri"/>
      <family val="2"/>
    </font>
    <font>
      <b/>
      <sz val="12"/>
      <color rgb="FF0C0C0C"/>
      <name val="Calibri"/>
      <family val="2"/>
    </font>
    <font>
      <b/>
      <sz val="11"/>
      <color rgb="FF000000"/>
      <name val="Calibri"/>
      <family val="2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b/>
      <sz val="11"/>
      <color theme="1"/>
      <name val="Calibri"/>
      <family val="2"/>
    </font>
    <font>
      <sz val="14"/>
      <color rgb="FFFFFFFF"/>
      <name val="Calibri"/>
      <family val="2"/>
    </font>
    <font>
      <sz val="16"/>
      <color rgb="FFFFFFFF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496A"/>
        <bgColor indexed="64"/>
      </patternFill>
    </fill>
    <fill>
      <patternFill patternType="solid">
        <fgColor rgb="FF366092"/>
        <bgColor rgb="FF366092"/>
      </patternFill>
    </fill>
    <fill>
      <patternFill patternType="solid">
        <fgColor rgb="FF366092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2" borderId="37" applyNumberFormat="0" applyFont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6" fillId="0" borderId="0">
      <protection locked="0"/>
    </xf>
    <xf numFmtId="9" fontId="5" fillId="0" borderId="0" applyFont="0" applyFill="0" applyBorder="0" applyAlignment="0" applyProtection="0"/>
    <xf numFmtId="1" fontId="7" fillId="2" borderId="9">
      <alignment horizontal="center" vertical="center"/>
    </xf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3">
    <xf numFmtId="0" fontId="0" fillId="0" borderId="0" xfId="0"/>
    <xf numFmtId="0" fontId="0" fillId="2" borderId="0" xfId="0" applyFill="1"/>
    <xf numFmtId="169" fontId="0" fillId="2" borderId="0" xfId="0" applyNumberFormat="1" applyFill="1"/>
    <xf numFmtId="169" fontId="2" fillId="0" borderId="34" xfId="4" applyNumberFormat="1" applyFont="1" applyFill="1" applyBorder="1" applyAlignment="1">
      <alignment vertical="center"/>
    </xf>
    <xf numFmtId="44" fontId="0" fillId="2" borderId="0" xfId="0" applyNumberFormat="1" applyFill="1"/>
    <xf numFmtId="164" fontId="0" fillId="2" borderId="35" xfId="0" applyNumberFormat="1" applyFill="1" applyBorder="1"/>
    <xf numFmtId="0" fontId="0" fillId="2" borderId="35" xfId="0" applyFill="1" applyBorder="1"/>
    <xf numFmtId="0" fontId="0" fillId="2" borderId="23" xfId="0" applyFill="1" applyBorder="1"/>
    <xf numFmtId="0" fontId="0" fillId="2" borderId="36" xfId="0" applyFill="1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5" xfId="0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170" fontId="14" fillId="2" borderId="2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3" fontId="15" fillId="2" borderId="0" xfId="0" applyNumberFormat="1" applyFont="1" applyFill="1" applyAlignment="1">
      <alignment horizontal="left" vertical="center" wrapText="1"/>
    </xf>
    <xf numFmtId="0" fontId="16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165" fontId="17" fillId="5" borderId="6" xfId="0" applyNumberFormat="1" applyFont="1" applyFill="1" applyBorder="1" applyAlignment="1">
      <alignment horizontal="center" vertical="center" wrapText="1"/>
    </xf>
    <xf numFmtId="165" fontId="17" fillId="5" borderId="7" xfId="0" applyNumberFormat="1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left" vertical="center" wrapText="1"/>
    </xf>
    <xf numFmtId="165" fontId="17" fillId="5" borderId="24" xfId="0" applyNumberFormat="1" applyFont="1" applyFill="1" applyBorder="1" applyAlignment="1">
      <alignment horizontal="center" vertical="center" wrapText="1"/>
    </xf>
    <xf numFmtId="165" fontId="19" fillId="6" borderId="8" xfId="0" applyNumberFormat="1" applyFont="1" applyFill="1" applyBorder="1" applyAlignment="1">
      <alignment horizontal="center" vertical="center" wrapText="1"/>
    </xf>
    <xf numFmtId="165" fontId="19" fillId="6" borderId="9" xfId="0" applyNumberFormat="1" applyFont="1" applyFill="1" applyBorder="1" applyAlignment="1">
      <alignment horizontal="center" vertical="center" wrapText="1"/>
    </xf>
    <xf numFmtId="165" fontId="17" fillId="5" borderId="9" xfId="0" applyNumberFormat="1" applyFont="1" applyFill="1" applyBorder="1" applyAlignment="1">
      <alignment horizontal="center" vertical="center" wrapText="1"/>
    </xf>
    <xf numFmtId="165" fontId="19" fillId="6" borderId="25" xfId="0" applyNumberFormat="1" applyFont="1" applyFill="1" applyBorder="1" applyAlignment="1">
      <alignment horizontal="center" vertical="center" wrapText="1"/>
    </xf>
    <xf numFmtId="0" fontId="8" fillId="0" borderId="0" xfId="0" applyFont="1"/>
    <xf numFmtId="1" fontId="11" fillId="2" borderId="6" xfId="3" applyNumberFormat="1" applyFont="1" applyFill="1" applyBorder="1" applyAlignment="1">
      <alignment horizontal="center" vertical="center"/>
    </xf>
    <xf numFmtId="1" fontId="11" fillId="2" borderId="10" xfId="3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9" fontId="8" fillId="0" borderId="7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44" fontId="8" fillId="0" borderId="24" xfId="0" applyNumberFormat="1" applyFont="1" applyBorder="1" applyAlignment="1">
      <alignment horizontal="center" vertical="center" wrapText="1"/>
    </xf>
    <xf numFmtId="44" fontId="8" fillId="2" borderId="0" xfId="0" applyNumberFormat="1" applyFont="1" applyFill="1" applyAlignment="1">
      <alignment vertical="center"/>
    </xf>
    <xf numFmtId="1" fontId="11" fillId="2" borderId="8" xfId="3" applyNumberFormat="1" applyFont="1" applyFill="1" applyBorder="1" applyAlignment="1">
      <alignment horizontal="center" vertical="center"/>
    </xf>
    <xf numFmtId="1" fontId="11" fillId="2" borderId="11" xfId="3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9" fontId="8" fillId="0" borderId="9" xfId="0" applyNumberFormat="1" applyFont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 vertical="center"/>
    </xf>
    <xf numFmtId="166" fontId="21" fillId="0" borderId="9" xfId="0" applyNumberFormat="1" applyFont="1" applyBorder="1" applyAlignment="1">
      <alignment horizontal="center" vertical="center"/>
    </xf>
    <xf numFmtId="167" fontId="21" fillId="0" borderId="9" xfId="0" applyNumberFormat="1" applyFont="1" applyBorder="1" applyAlignment="1">
      <alignment horizontal="center" vertical="center"/>
    </xf>
    <xf numFmtId="44" fontId="8" fillId="0" borderId="9" xfId="1" applyFont="1" applyBorder="1" applyAlignment="1" applyProtection="1">
      <alignment horizontal="center" vertical="center"/>
    </xf>
    <xf numFmtId="168" fontId="8" fillId="0" borderId="9" xfId="0" applyNumberFormat="1" applyFont="1" applyBorder="1" applyAlignment="1">
      <alignment horizontal="left" vertical="center"/>
    </xf>
    <xf numFmtId="44" fontId="8" fillId="0" borderId="25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44" fontId="8" fillId="0" borderId="0" xfId="0" applyNumberFormat="1" applyFont="1" applyAlignment="1">
      <alignment vertical="center"/>
    </xf>
    <xf numFmtId="0" fontId="23" fillId="6" borderId="9" xfId="0" applyFont="1" applyFill="1" applyBorder="1" applyAlignment="1">
      <alignment horizontal="left" vertical="center" wrapText="1"/>
    </xf>
    <xf numFmtId="0" fontId="24" fillId="0" borderId="0" xfId="0" applyFont="1"/>
    <xf numFmtId="0" fontId="24" fillId="0" borderId="0" xfId="0" applyFont="1" applyAlignment="1">
      <alignment horizontal="left"/>
    </xf>
    <xf numFmtId="0" fontId="8" fillId="0" borderId="11" xfId="0" applyFont="1" applyBorder="1" applyAlignment="1">
      <alignment horizontal="center" vertical="center"/>
    </xf>
    <xf numFmtId="44" fontId="8" fillId="0" borderId="9" xfId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" fontId="11" fillId="2" borderId="12" xfId="3" applyNumberFormat="1" applyFont="1" applyFill="1" applyBorder="1" applyAlignment="1">
      <alignment horizontal="center" vertical="center"/>
    </xf>
    <xf numFmtId="166" fontId="21" fillId="0" borderId="15" xfId="0" applyNumberFormat="1" applyFont="1" applyBorder="1" applyAlignment="1">
      <alignment horizontal="center" vertical="center"/>
    </xf>
    <xf numFmtId="168" fontId="8" fillId="0" borderId="15" xfId="0" applyNumberFormat="1" applyFont="1" applyBorder="1" applyAlignment="1">
      <alignment horizontal="left" vertical="center"/>
    </xf>
    <xf numFmtId="44" fontId="8" fillId="0" borderId="2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0" fontId="2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vertical="center"/>
    </xf>
    <xf numFmtId="44" fontId="12" fillId="0" borderId="17" xfId="1" applyFont="1" applyFill="1" applyBorder="1" applyAlignment="1">
      <alignment horizontal="right" vertical="center"/>
    </xf>
    <xf numFmtId="169" fontId="22" fillId="8" borderId="27" xfId="0" applyNumberFormat="1" applyFont="1" applyFill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18" fillId="5" borderId="9" xfId="0" applyFont="1" applyFill="1" applyBorder="1" applyAlignment="1">
      <alignment horizontal="left" vertical="center" wrapText="1"/>
    </xf>
    <xf numFmtId="1" fontId="25" fillId="0" borderId="11" xfId="0" applyNumberFormat="1" applyFont="1" applyBorder="1" applyAlignment="1">
      <alignment horizontal="center" vertical="center"/>
    </xf>
    <xf numFmtId="0" fontId="25" fillId="0" borderId="9" xfId="0" applyFont="1" applyBorder="1" applyAlignment="1">
      <alignment horizontal="center"/>
    </xf>
    <xf numFmtId="166" fontId="8" fillId="0" borderId="9" xfId="0" applyNumberFormat="1" applyFont="1" applyBorder="1" applyAlignment="1">
      <alignment horizontal="center" vertical="center"/>
    </xf>
    <xf numFmtId="169" fontId="8" fillId="0" borderId="25" xfId="0" applyNumberFormat="1" applyFont="1" applyBorder="1" applyAlignment="1">
      <alignment horizontal="center" vertical="center" wrapText="1"/>
    </xf>
    <xf numFmtId="1" fontId="11" fillId="2" borderId="9" xfId="3" applyNumberFormat="1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1" fontId="8" fillId="0" borderId="15" xfId="0" applyNumberFormat="1" applyFont="1" applyBorder="1" applyAlignment="1">
      <alignment horizontal="center" vertical="center"/>
    </xf>
    <xf numFmtId="9" fontId="8" fillId="0" borderId="15" xfId="0" applyNumberFormat="1" applyFont="1" applyBorder="1" applyAlignment="1">
      <alignment horizontal="center" vertical="center"/>
    </xf>
    <xf numFmtId="167" fontId="21" fillId="0" borderId="9" xfId="0" applyNumberFormat="1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169" fontId="22" fillId="0" borderId="17" xfId="0" applyNumberFormat="1" applyFont="1" applyBorder="1" applyAlignment="1">
      <alignment horizontal="center" vertical="center"/>
    </xf>
    <xf numFmtId="168" fontId="22" fillId="0" borderId="17" xfId="0" applyNumberFormat="1" applyFont="1" applyBorder="1" applyAlignment="1">
      <alignment vertical="center"/>
    </xf>
    <xf numFmtId="0" fontId="8" fillId="2" borderId="5" xfId="3" applyFont="1" applyFill="1" applyBorder="1" applyAlignment="1">
      <alignment horizontal="left" vertical="center" wrapText="1"/>
    </xf>
    <xf numFmtId="0" fontId="8" fillId="2" borderId="0" xfId="3" applyFont="1" applyFill="1" applyBorder="1" applyAlignment="1">
      <alignment horizontal="left" vertical="center" wrapText="1"/>
    </xf>
    <xf numFmtId="1" fontId="8" fillId="0" borderId="0" xfId="0" applyNumberFormat="1" applyFont="1" applyAlignment="1">
      <alignment horizontal="center" vertical="center"/>
    </xf>
    <xf numFmtId="9" fontId="11" fillId="2" borderId="0" xfId="2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44" fontId="11" fillId="2" borderId="0" xfId="1" applyFont="1" applyFill="1" applyBorder="1" applyAlignment="1" applyProtection="1">
      <alignment horizontal="center" vertical="center"/>
    </xf>
    <xf numFmtId="169" fontId="8" fillId="0" borderId="23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169" fontId="8" fillId="0" borderId="24" xfId="0" applyNumberFormat="1" applyFont="1" applyBorder="1" applyAlignment="1">
      <alignment horizontal="center" vertical="center" wrapText="1"/>
    </xf>
    <xf numFmtId="9" fontId="26" fillId="0" borderId="9" xfId="0" applyNumberFormat="1" applyFont="1" applyBorder="1" applyAlignment="1">
      <alignment horizontal="center" vertical="center"/>
    </xf>
    <xf numFmtId="1" fontId="26" fillId="0" borderId="9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1" fontId="11" fillId="2" borderId="9" xfId="3" applyNumberFormat="1" applyFont="1" applyFill="1" applyBorder="1" applyAlignment="1">
      <alignment horizontal="center" vertical="center"/>
    </xf>
    <xf numFmtId="0" fontId="24" fillId="0" borderId="9" xfId="0" applyFont="1" applyBorder="1" applyAlignment="1">
      <alignment wrapText="1"/>
    </xf>
    <xf numFmtId="0" fontId="12" fillId="0" borderId="8" xfId="0" applyFont="1" applyBorder="1" applyAlignment="1">
      <alignment vertical="center"/>
    </xf>
    <xf numFmtId="167" fontId="21" fillId="0" borderId="15" xfId="0" applyNumberFormat="1" applyFont="1" applyBorder="1" applyAlignment="1">
      <alignment horizontal="center" vertical="center"/>
    </xf>
    <xf numFmtId="44" fontId="8" fillId="0" borderId="15" xfId="1" applyFont="1" applyBorder="1" applyAlignment="1" applyProtection="1">
      <alignment horizontal="center" vertical="center"/>
    </xf>
    <xf numFmtId="165" fontId="19" fillId="6" borderId="7" xfId="0" applyNumberFormat="1" applyFont="1" applyFill="1" applyBorder="1" applyAlignment="1">
      <alignment horizontal="center" vertical="center" wrapText="1"/>
    </xf>
    <xf numFmtId="0" fontId="20" fillId="7" borderId="9" xfId="7" applyFont="1" applyFill="1" applyBorder="1" applyAlignment="1" applyProtection="1">
      <alignment horizontal="center"/>
    </xf>
    <xf numFmtId="0" fontId="21" fillId="0" borderId="9" xfId="0" applyFont="1" applyBorder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21" fillId="0" borderId="0" xfId="0" applyFont="1"/>
    <xf numFmtId="0" fontId="21" fillId="0" borderId="0" xfId="0" applyFont="1" applyAlignment="1">
      <alignment horizontal="left"/>
    </xf>
    <xf numFmtId="168" fontId="8" fillId="0" borderId="25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0" fillId="9" borderId="8" xfId="0" applyFont="1" applyFill="1" applyBorder="1" applyAlignment="1">
      <alignment horizontal="left" vertical="center"/>
    </xf>
    <xf numFmtId="0" fontId="21" fillId="9" borderId="9" xfId="0" applyFont="1" applyFill="1" applyBorder="1" applyAlignment="1">
      <alignment horizontal="center" vertical="center"/>
    </xf>
    <xf numFmtId="0" fontId="20" fillId="9" borderId="9" xfId="0" applyFont="1" applyFill="1" applyBorder="1" applyAlignment="1">
      <alignment horizontal="center" vertical="center"/>
    </xf>
    <xf numFmtId="0" fontId="20" fillId="9" borderId="9" xfId="0" applyFont="1" applyFill="1" applyBorder="1" applyAlignment="1">
      <alignment horizontal="left" vertical="center" wrapText="1"/>
    </xf>
    <xf numFmtId="0" fontId="27" fillId="9" borderId="9" xfId="0" applyFont="1" applyFill="1" applyBorder="1" applyAlignment="1">
      <alignment horizontal="center" vertical="center"/>
    </xf>
    <xf numFmtId="1" fontId="27" fillId="9" borderId="9" xfId="0" applyNumberFormat="1" applyFont="1" applyFill="1" applyBorder="1" applyAlignment="1">
      <alignment horizontal="center" vertical="center"/>
    </xf>
    <xf numFmtId="44" fontId="27" fillId="9" borderId="9" xfId="0" applyNumberFormat="1" applyFont="1" applyFill="1" applyBorder="1" applyAlignment="1">
      <alignment horizontal="left" vertical="center"/>
    </xf>
    <xf numFmtId="169" fontId="28" fillId="9" borderId="25" xfId="0" applyNumberFormat="1" applyFont="1" applyFill="1" applyBorder="1" applyAlignment="1">
      <alignment horizontal="left" vertical="center"/>
    </xf>
    <xf numFmtId="0" fontId="20" fillId="9" borderId="9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left"/>
    </xf>
    <xf numFmtId="1" fontId="20" fillId="9" borderId="9" xfId="0" applyNumberFormat="1" applyFont="1" applyFill="1" applyBorder="1" applyAlignment="1">
      <alignment horizontal="center" vertical="center"/>
    </xf>
    <xf numFmtId="9" fontId="20" fillId="9" borderId="9" xfId="0" applyNumberFormat="1" applyFont="1" applyFill="1" applyBorder="1" applyAlignment="1">
      <alignment horizontal="left" vertical="center"/>
    </xf>
    <xf numFmtId="0" fontId="20" fillId="0" borderId="0" xfId="0" applyFont="1"/>
    <xf numFmtId="0" fontId="20" fillId="10" borderId="8" xfId="0" applyFont="1" applyFill="1" applyBorder="1" applyAlignment="1">
      <alignment horizontal="left" vertical="center"/>
    </xf>
    <xf numFmtId="0" fontId="21" fillId="10" borderId="9" xfId="0" applyFont="1" applyFill="1" applyBorder="1" applyAlignment="1">
      <alignment horizontal="center" vertical="center"/>
    </xf>
    <xf numFmtId="0" fontId="20" fillId="10" borderId="9" xfId="0" applyFont="1" applyFill="1" applyBorder="1" applyAlignment="1">
      <alignment horizontal="center"/>
    </xf>
    <xf numFmtId="0" fontId="20" fillId="10" borderId="9" xfId="0" applyFont="1" applyFill="1" applyBorder="1" applyAlignment="1">
      <alignment horizontal="left"/>
    </xf>
    <xf numFmtId="1" fontId="20" fillId="10" borderId="9" xfId="0" applyNumberFormat="1" applyFont="1" applyFill="1" applyBorder="1" applyAlignment="1">
      <alignment horizontal="center" vertical="center"/>
    </xf>
    <xf numFmtId="0" fontId="20" fillId="10" borderId="9" xfId="0" applyFont="1" applyFill="1" applyBorder="1" applyAlignment="1">
      <alignment horizontal="center" vertical="center"/>
    </xf>
    <xf numFmtId="9" fontId="20" fillId="10" borderId="9" xfId="0" applyNumberFormat="1" applyFont="1" applyFill="1" applyBorder="1" applyAlignment="1">
      <alignment horizontal="left" vertical="center"/>
    </xf>
    <xf numFmtId="169" fontId="28" fillId="10" borderId="25" xfId="0" applyNumberFormat="1" applyFont="1" applyFill="1" applyBorder="1" applyAlignment="1">
      <alignment horizontal="left" vertical="center"/>
    </xf>
    <xf numFmtId="0" fontId="20" fillId="11" borderId="8" xfId="0" applyFont="1" applyFill="1" applyBorder="1" applyAlignment="1">
      <alignment horizontal="left" vertical="center"/>
    </xf>
    <xf numFmtId="0" fontId="21" fillId="11" borderId="9" xfId="0" applyFont="1" applyFill="1" applyBorder="1" applyAlignment="1">
      <alignment horizontal="center" vertical="center"/>
    </xf>
    <xf numFmtId="0" fontId="20" fillId="11" borderId="9" xfId="0" applyFont="1" applyFill="1" applyBorder="1" applyAlignment="1">
      <alignment horizontal="center"/>
    </xf>
    <xf numFmtId="0" fontId="20" fillId="11" borderId="9" xfId="0" applyFont="1" applyFill="1" applyBorder="1" applyAlignment="1">
      <alignment horizontal="left"/>
    </xf>
    <xf numFmtId="1" fontId="20" fillId="11" borderId="9" xfId="0" applyNumberFormat="1" applyFont="1" applyFill="1" applyBorder="1" applyAlignment="1">
      <alignment horizontal="center" vertical="center"/>
    </xf>
    <xf numFmtId="0" fontId="20" fillId="11" borderId="9" xfId="0" applyFont="1" applyFill="1" applyBorder="1" applyAlignment="1">
      <alignment horizontal="center" vertical="center"/>
    </xf>
    <xf numFmtId="10" fontId="20" fillId="11" borderId="9" xfId="0" applyNumberFormat="1" applyFont="1" applyFill="1" applyBorder="1" applyAlignment="1">
      <alignment horizontal="left" vertical="center"/>
    </xf>
    <xf numFmtId="169" fontId="28" fillId="11" borderId="25" xfId="0" applyNumberFormat="1" applyFont="1" applyFill="1" applyBorder="1" applyAlignment="1">
      <alignment horizontal="left" vertical="center"/>
    </xf>
    <xf numFmtId="171" fontId="20" fillId="11" borderId="9" xfId="0" applyNumberFormat="1" applyFont="1" applyFill="1" applyBorder="1" applyAlignment="1">
      <alignment horizontal="left" vertical="center"/>
    </xf>
    <xf numFmtId="0" fontId="20" fillId="11" borderId="31" xfId="0" applyFont="1" applyFill="1" applyBorder="1" applyAlignment="1">
      <alignment horizontal="left" vertical="center"/>
    </xf>
    <xf numFmtId="0" fontId="21" fillId="11" borderId="32" xfId="0" applyFont="1" applyFill="1" applyBorder="1" applyAlignment="1">
      <alignment horizontal="center" vertical="center"/>
    </xf>
    <xf numFmtId="165" fontId="20" fillId="11" borderId="32" xfId="0" applyNumberFormat="1" applyFont="1" applyFill="1" applyBorder="1" applyAlignment="1">
      <alignment horizontal="center" vertical="center"/>
    </xf>
    <xf numFmtId="0" fontId="20" fillId="11" borderId="32" xfId="0" applyFont="1" applyFill="1" applyBorder="1" applyAlignment="1">
      <alignment horizontal="left" vertical="center" wrapText="1"/>
    </xf>
    <xf numFmtId="0" fontId="27" fillId="11" borderId="32" xfId="0" applyFont="1" applyFill="1" applyBorder="1" applyAlignment="1">
      <alignment horizontal="center" vertical="center"/>
    </xf>
    <xf numFmtId="1" fontId="27" fillId="11" borderId="32" xfId="0" applyNumberFormat="1" applyFont="1" applyFill="1" applyBorder="1" applyAlignment="1">
      <alignment horizontal="center" vertical="center"/>
    </xf>
    <xf numFmtId="44" fontId="27" fillId="11" borderId="32" xfId="0" applyNumberFormat="1" applyFont="1" applyFill="1" applyBorder="1" applyAlignment="1">
      <alignment horizontal="left" vertical="center"/>
    </xf>
    <xf numFmtId="169" fontId="28" fillId="11" borderId="33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29" fillId="2" borderId="0" xfId="10" applyFont="1" applyFill="1"/>
    <xf numFmtId="0" fontId="30" fillId="2" borderId="0" xfId="10" applyFont="1" applyFill="1"/>
    <xf numFmtId="0" fontId="31" fillId="13" borderId="3" xfId="10" applyFont="1" applyFill="1" applyBorder="1" applyAlignment="1">
      <alignment horizontal="center"/>
    </xf>
    <xf numFmtId="0" fontId="31" fillId="13" borderId="22" xfId="10" applyFont="1" applyFill="1" applyBorder="1" applyAlignment="1">
      <alignment horizontal="center"/>
    </xf>
    <xf numFmtId="0" fontId="29" fillId="14" borderId="1" xfId="10" applyFont="1" applyFill="1" applyBorder="1" applyAlignment="1">
      <alignment horizontal="right"/>
    </xf>
    <xf numFmtId="0" fontId="31" fillId="14" borderId="2" xfId="10" applyFont="1" applyFill="1" applyBorder="1"/>
    <xf numFmtId="0" fontId="29" fillId="14" borderId="5" xfId="10" applyFont="1" applyFill="1" applyBorder="1" applyAlignment="1">
      <alignment horizontal="right"/>
    </xf>
    <xf numFmtId="0" fontId="31" fillId="14" borderId="0" xfId="10" applyFont="1" applyFill="1"/>
    <xf numFmtId="0" fontId="29" fillId="14" borderId="39" xfId="10" applyFont="1" applyFill="1" applyBorder="1" applyAlignment="1">
      <alignment horizontal="right"/>
    </xf>
    <xf numFmtId="0" fontId="31" fillId="14" borderId="35" xfId="10" applyFont="1" applyFill="1" applyBorder="1"/>
    <xf numFmtId="169" fontId="31" fillId="14" borderId="36" xfId="11" applyNumberFormat="1" applyFont="1" applyFill="1" applyBorder="1"/>
    <xf numFmtId="0" fontId="29" fillId="13" borderId="3" xfId="10" applyFont="1" applyFill="1" applyBorder="1" applyAlignment="1">
      <alignment horizontal="right"/>
    </xf>
    <xf numFmtId="9" fontId="29" fillId="13" borderId="22" xfId="12" applyFont="1" applyFill="1" applyBorder="1"/>
    <xf numFmtId="0" fontId="31" fillId="15" borderId="1" xfId="10" applyFont="1" applyFill="1" applyBorder="1" applyAlignment="1">
      <alignment horizontal="right"/>
    </xf>
    <xf numFmtId="0" fontId="31" fillId="15" borderId="2" xfId="10" applyFont="1" applyFill="1" applyBorder="1"/>
    <xf numFmtId="9" fontId="31" fillId="15" borderId="38" xfId="12" applyFont="1" applyFill="1" applyBorder="1"/>
    <xf numFmtId="0" fontId="31" fillId="15" borderId="5" xfId="10" applyFont="1" applyFill="1" applyBorder="1"/>
    <xf numFmtId="0" fontId="31" fillId="15" borderId="0" xfId="10" applyFont="1" applyFill="1"/>
    <xf numFmtId="9" fontId="31" fillId="15" borderId="23" xfId="12" applyFont="1" applyFill="1" applyBorder="1"/>
    <xf numFmtId="0" fontId="31" fillId="15" borderId="39" xfId="10" applyFont="1" applyFill="1" applyBorder="1"/>
    <xf numFmtId="0" fontId="31" fillId="15" borderId="35" xfId="10" applyFont="1" applyFill="1" applyBorder="1"/>
    <xf numFmtId="9" fontId="31" fillId="15" borderId="36" xfId="12" applyFont="1" applyFill="1" applyBorder="1"/>
    <xf numFmtId="0" fontId="32" fillId="2" borderId="0" xfId="10" applyFont="1" applyFill="1"/>
    <xf numFmtId="168" fontId="16" fillId="14" borderId="9" xfId="0" applyNumberFormat="1" applyFont="1" applyFill="1" applyBorder="1" applyAlignment="1">
      <alignment horizontal="center" vertical="center"/>
    </xf>
    <xf numFmtId="0" fontId="16" fillId="15" borderId="9" xfId="0" applyFont="1" applyFill="1" applyBorder="1" applyAlignment="1">
      <alignment horizontal="center" vertical="center" wrapText="1"/>
    </xf>
    <xf numFmtId="168" fontId="16" fillId="15" borderId="9" xfId="0" applyNumberFormat="1" applyFont="1" applyFill="1" applyBorder="1" applyAlignment="1">
      <alignment horizontal="center" vertical="center"/>
    </xf>
    <xf numFmtId="168" fontId="31" fillId="14" borderId="23" xfId="11" applyNumberFormat="1" applyFont="1" applyFill="1" applyBorder="1"/>
    <xf numFmtId="44" fontId="31" fillId="14" borderId="38" xfId="11" applyFont="1" applyFill="1" applyBorder="1"/>
    <xf numFmtId="44" fontId="31" fillId="14" borderId="23" xfId="11" applyFont="1" applyFill="1" applyBorder="1"/>
    <xf numFmtId="0" fontId="8" fillId="0" borderId="15" xfId="0" applyFont="1" applyBorder="1" applyAlignment="1">
      <alignment horizontal="left" vertical="center"/>
    </xf>
    <xf numFmtId="0" fontId="16" fillId="0" borderId="6" xfId="0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169" fontId="8" fillId="0" borderId="24" xfId="0" applyNumberFormat="1" applyFont="1" applyBorder="1"/>
    <xf numFmtId="0" fontId="16" fillId="0" borderId="8" xfId="0" applyFont="1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169" fontId="8" fillId="0" borderId="25" xfId="0" applyNumberFormat="1" applyFont="1" applyBorder="1"/>
    <xf numFmtId="9" fontId="20" fillId="9" borderId="8" xfId="2" applyFont="1" applyFill="1" applyBorder="1" applyAlignment="1">
      <alignment horizontal="center" vertical="center"/>
    </xf>
    <xf numFmtId="172" fontId="20" fillId="9" borderId="8" xfId="0" applyNumberFormat="1" applyFont="1" applyFill="1" applyBorder="1" applyAlignment="1">
      <alignment horizontal="left" vertical="center"/>
    </xf>
    <xf numFmtId="171" fontId="20" fillId="10" borderId="8" xfId="2" applyNumberFormat="1" applyFont="1" applyFill="1" applyBorder="1" applyAlignment="1">
      <alignment horizontal="center" vertical="center"/>
    </xf>
    <xf numFmtId="172" fontId="20" fillId="10" borderId="8" xfId="0" applyNumberFormat="1" applyFont="1" applyFill="1" applyBorder="1" applyAlignment="1">
      <alignment horizontal="left" vertical="center"/>
    </xf>
    <xf numFmtId="171" fontId="20" fillId="11" borderId="8" xfId="2" applyNumberFormat="1" applyFont="1" applyFill="1" applyBorder="1" applyAlignment="1">
      <alignment horizontal="center" vertical="center"/>
    </xf>
    <xf numFmtId="172" fontId="20" fillId="11" borderId="8" xfId="0" applyNumberFormat="1" applyFont="1" applyFill="1" applyBorder="1" applyAlignment="1">
      <alignment horizontal="left" vertical="center"/>
    </xf>
    <xf numFmtId="165" fontId="33" fillId="5" borderId="9" xfId="0" applyNumberFormat="1" applyFont="1" applyFill="1" applyBorder="1" applyAlignment="1">
      <alignment horizontal="center" vertical="center" wrapText="1"/>
    </xf>
    <xf numFmtId="0" fontId="20" fillId="9" borderId="9" xfId="0" applyFont="1" applyFill="1" applyBorder="1" applyAlignment="1">
      <alignment horizontal="left" vertical="center"/>
    </xf>
    <xf numFmtId="0" fontId="18" fillId="5" borderId="7" xfId="0" applyFont="1" applyFill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12" fillId="0" borderId="28" xfId="0" applyNumberFormat="1" applyFont="1" applyBorder="1" applyAlignment="1">
      <alignment vertical="center"/>
    </xf>
    <xf numFmtId="169" fontId="19" fillId="6" borderId="25" xfId="0" applyNumberFormat="1" applyFont="1" applyFill="1" applyBorder="1" applyAlignment="1">
      <alignment horizontal="center" vertical="center" wrapText="1"/>
    </xf>
    <xf numFmtId="169" fontId="19" fillId="6" borderId="24" xfId="0" applyNumberFormat="1" applyFont="1" applyFill="1" applyBorder="1" applyAlignment="1">
      <alignment horizontal="center" vertical="center" wrapText="1"/>
    </xf>
    <xf numFmtId="0" fontId="35" fillId="2" borderId="0" xfId="10" applyFont="1" applyFill="1"/>
    <xf numFmtId="0" fontId="36" fillId="2" borderId="0" xfId="10" applyFont="1" applyFill="1"/>
    <xf numFmtId="167" fontId="16" fillId="16" borderId="14" xfId="0" applyNumberFormat="1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/>
    </xf>
    <xf numFmtId="165" fontId="34" fillId="5" borderId="18" xfId="0" applyNumberFormat="1" applyFont="1" applyFill="1" applyBorder="1" applyAlignment="1">
      <alignment horizontal="center" vertical="center" wrapText="1"/>
    </xf>
    <xf numFmtId="165" fontId="34" fillId="5" borderId="19" xfId="0" applyNumberFormat="1" applyFont="1" applyFill="1" applyBorder="1" applyAlignment="1">
      <alignment horizontal="center" vertical="center" wrapText="1"/>
    </xf>
    <xf numFmtId="165" fontId="34" fillId="5" borderId="10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0" fontId="20" fillId="9" borderId="30" xfId="0" applyFont="1" applyFill="1" applyBorder="1" applyAlignment="1">
      <alignment horizontal="center" vertical="center"/>
    </xf>
    <xf numFmtId="0" fontId="20" fillId="9" borderId="42" xfId="0" applyFont="1" applyFill="1" applyBorder="1" applyAlignment="1">
      <alignment horizontal="center" vertical="center"/>
    </xf>
    <xf numFmtId="0" fontId="20" fillId="9" borderId="29" xfId="0" applyFont="1" applyFill="1" applyBorder="1" applyAlignment="1">
      <alignment horizontal="center" vertical="center"/>
    </xf>
    <xf numFmtId="0" fontId="20" fillId="9" borderId="2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16" fillId="14" borderId="40" xfId="0" applyFont="1" applyFill="1" applyBorder="1" applyAlignment="1">
      <alignment horizontal="center" vertical="center" wrapText="1"/>
    </xf>
    <xf numFmtId="0" fontId="16" fillId="14" borderId="4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wrapText="1"/>
    </xf>
    <xf numFmtId="3" fontId="10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horizontal="left" vertical="center"/>
    </xf>
    <xf numFmtId="0" fontId="16" fillId="16" borderId="40" xfId="0" applyFont="1" applyFill="1" applyBorder="1" applyAlignment="1">
      <alignment horizontal="center" vertical="center"/>
    </xf>
    <xf numFmtId="0" fontId="16" fillId="16" borderId="41" xfId="0" applyFont="1" applyFill="1" applyBorder="1" applyAlignment="1">
      <alignment horizontal="center" vertical="center"/>
    </xf>
    <xf numFmtId="0" fontId="31" fillId="13" borderId="1" xfId="10" applyFont="1" applyFill="1" applyBorder="1" applyAlignment="1">
      <alignment horizontal="center"/>
    </xf>
    <xf numFmtId="0" fontId="31" fillId="13" borderId="38" xfId="10" applyFont="1" applyFill="1" applyBorder="1" applyAlignment="1">
      <alignment horizontal="center"/>
    </xf>
  </cellXfs>
  <cellStyles count="13">
    <cellStyle name="Currency" xfId="1" builtinId="4"/>
    <cellStyle name="Currency 2" xfId="4" xr:uid="{00000000-0005-0000-0000-000031000000}"/>
    <cellStyle name="Currency 3" xfId="5" xr:uid="{00000000-0005-0000-0000-000032000000}"/>
    <cellStyle name="Currency 4" xfId="11" xr:uid="{31B63A4D-20A0-4224-9C51-B66763BF4A1D}"/>
    <cellStyle name="Normal" xfId="0" builtinId="0"/>
    <cellStyle name="Normal 2" xfId="10" xr:uid="{6C8F0610-00AB-43D9-AB87-B7294B9D5E86}"/>
    <cellStyle name="Normal 2 3" xfId="6" xr:uid="{00000000-0005-0000-0000-000033000000}"/>
    <cellStyle name="Normal 4" xfId="7" xr:uid="{00000000-0005-0000-0000-000034000000}"/>
    <cellStyle name="Note" xfId="3" builtinId="10"/>
    <cellStyle name="Percent" xfId="2" builtinId="5"/>
    <cellStyle name="Percent 2" xfId="8" xr:uid="{00000000-0005-0000-0000-000035000000}"/>
    <cellStyle name="Percent 3" xfId="12" xr:uid="{367422E9-F0F9-4602-B6B4-009863654D2A}"/>
    <cellStyle name="Style 1" xfId="9" xr:uid="{00000000-0005-0000-0000-000036000000}"/>
  </cellStyles>
  <dxfs count="0"/>
  <tableStyles count="0" defaultTableStyle="TableStyleMedium9" defaultPivotStyle="PivotStyleLight16"/>
  <colors>
    <mruColors>
      <color rgb="FF00496A"/>
      <color rgb="FF4A4C4C"/>
      <color rgb="FF013554"/>
      <color rgb="FF001521"/>
      <color rgb="FF00A6A5"/>
      <color rgb="FF00C8C3"/>
      <color rgb="FF00A8A4"/>
      <color rgb="FF00DED9"/>
      <color rgb="FF00BCB8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DIVISION COST COMPARISON</c:v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'General Summary'!$B$5:$B$8</c:f>
              <c:strCache>
                <c:ptCount val="4"/>
                <c:pt idx="0">
                  <c:v>General Requirments</c:v>
                </c:pt>
                <c:pt idx="1">
                  <c:v>Concrete</c:v>
                </c:pt>
                <c:pt idx="2">
                  <c:v>Masonry</c:v>
                </c:pt>
                <c:pt idx="3">
                  <c:v>Wood &amp; Plastics</c:v>
                </c:pt>
              </c:strCache>
            </c:strRef>
          </c:cat>
          <c:val>
            <c:numRef>
              <c:f>'General Summary'!$C$5:$C$8</c:f>
              <c:numCache>
                <c:formatCode>_("$"* #,##0_);_("$"* \(#,##0\);_("$"* "-"??_);_(@_)</c:formatCode>
                <c:ptCount val="4"/>
                <c:pt idx="0">
                  <c:v>800000</c:v>
                </c:pt>
                <c:pt idx="1">
                  <c:v>6562013.9133318784</c:v>
                </c:pt>
                <c:pt idx="2">
                  <c:v>1128695.4171581927</c:v>
                </c:pt>
                <c:pt idx="3">
                  <c:v>216503.49457000001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DB-47F0-B7AD-29B0133F3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525215184"/>
        <c:axId val="525188976"/>
      </c:barChart>
      <c:catAx>
        <c:axId val="5252151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188976"/>
        <c:crosses val="autoZero"/>
        <c:auto val="1"/>
        <c:lblAlgn val="ctr"/>
        <c:lblOffset val="100"/>
        <c:noMultiLvlLbl val="0"/>
      </c:catAx>
      <c:valAx>
        <c:axId val="5251889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21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1543</xdr:colOff>
      <xdr:row>3</xdr:row>
      <xdr:rowOff>10886</xdr:rowOff>
    </xdr:from>
    <xdr:to>
      <xdr:col>14</xdr:col>
      <xdr:colOff>2969</xdr:colOff>
      <xdr:row>15</xdr:row>
      <xdr:rowOff>196496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1</xdr:row>
      <xdr:rowOff>0</xdr:rowOff>
    </xdr:from>
    <xdr:ext cx="184731" cy="28361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194560" y="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8361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737360" y="0"/>
          <a:ext cx="184150" cy="2832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N26"/>
  <sheetViews>
    <sheetView view="pageBreakPreview" zoomScale="70" zoomScaleNormal="100" zoomScaleSheetLayoutView="70" workbookViewId="0">
      <selection activeCell="A2" sqref="A2"/>
    </sheetView>
  </sheetViews>
  <sheetFormatPr defaultColWidth="9" defaultRowHeight="13.8"/>
  <cols>
    <col min="1" max="1" width="38.3984375" style="1" customWidth="1"/>
    <col min="2" max="2" width="63.09765625" style="1" customWidth="1"/>
    <col min="3" max="3" width="17.59765625" style="2" customWidth="1"/>
    <col min="4" max="16384" width="9" style="1"/>
  </cols>
  <sheetData>
    <row r="1" spans="1:14" ht="21">
      <c r="A1" s="210" t="s">
        <v>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2"/>
    </row>
    <row r="2" spans="1:14" ht="21" customHeight="1">
      <c r="A2" s="200" t="s">
        <v>125</v>
      </c>
      <c r="B2" s="120">
        <v>73180</v>
      </c>
      <c r="C2" s="215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7"/>
    </row>
    <row r="3" spans="1:14" ht="21" customHeight="1">
      <c r="A3" s="200" t="s">
        <v>126</v>
      </c>
      <c r="B3" s="120">
        <f>B2/C16</f>
        <v>6.2255751061228281E-3</v>
      </c>
      <c r="C3" s="218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20"/>
    </row>
    <row r="4" spans="1:14" ht="18">
      <c r="A4" s="199" t="s">
        <v>1</v>
      </c>
      <c r="B4" s="199" t="s">
        <v>2</v>
      </c>
      <c r="C4" s="199" t="s">
        <v>3</v>
      </c>
      <c r="N4" s="7"/>
    </row>
    <row r="5" spans="1:14" ht="15.6">
      <c r="A5" s="187">
        <v>1000</v>
      </c>
      <c r="B5" s="188" t="s">
        <v>4</v>
      </c>
      <c r="C5" s="189">
        <f>'Takeoff Breakdown'!Q15</f>
        <v>800000</v>
      </c>
      <c r="N5" s="7"/>
    </row>
    <row r="6" spans="1:14" ht="15.6">
      <c r="A6" s="190">
        <v>3000</v>
      </c>
      <c r="B6" s="191" t="s">
        <v>5</v>
      </c>
      <c r="C6" s="192">
        <f>'Takeoff Breakdown'!Q216</f>
        <v>6562013.9133318784</v>
      </c>
      <c r="N6" s="7"/>
    </row>
    <row r="7" spans="1:14" ht="15.6">
      <c r="A7" s="190">
        <v>4000</v>
      </c>
      <c r="B7" s="191" t="s">
        <v>6</v>
      </c>
      <c r="C7" s="192">
        <f>'Takeoff Breakdown'!Q231</f>
        <v>1128695.4171581927</v>
      </c>
      <c r="N7" s="7"/>
    </row>
    <row r="8" spans="1:14" ht="16.2" thickBot="1">
      <c r="A8" s="190">
        <v>6000</v>
      </c>
      <c r="B8" s="191" t="s">
        <v>7</v>
      </c>
      <c r="C8" s="192">
        <f>'Takeoff Breakdown'!Q253</f>
        <v>216503.49457000001</v>
      </c>
      <c r="N8" s="7"/>
    </row>
    <row r="9" spans="1:14" ht="16.2" thickBot="1">
      <c r="A9" s="213" t="s">
        <v>11</v>
      </c>
      <c r="B9" s="213"/>
      <c r="C9" s="3">
        <f>SUM(C5:C8)</f>
        <v>8707212.8250600714</v>
      </c>
      <c r="E9" s="4"/>
      <c r="N9" s="7"/>
    </row>
    <row r="10" spans="1:14" ht="15.6">
      <c r="A10" s="214"/>
      <c r="B10" s="214"/>
      <c r="C10" s="214"/>
      <c r="N10" s="7"/>
    </row>
    <row r="11" spans="1:14" ht="15.6">
      <c r="A11" s="118" t="s">
        <v>12</v>
      </c>
      <c r="B11" s="193">
        <v>0.05</v>
      </c>
      <c r="C11" s="194">
        <f>C9*B11</f>
        <v>435360.64125300362</v>
      </c>
      <c r="D11" s="4"/>
      <c r="E11" s="4"/>
      <c r="N11" s="7"/>
    </row>
    <row r="12" spans="1:14" ht="15.6">
      <c r="A12" s="118" t="s">
        <v>123</v>
      </c>
      <c r="B12" s="193">
        <v>0.1</v>
      </c>
      <c r="C12" s="194">
        <f>C9*B12</f>
        <v>870721.28250600724</v>
      </c>
      <c r="N12" s="7"/>
    </row>
    <row r="13" spans="1:14" ht="15.6">
      <c r="A13" s="118" t="s">
        <v>124</v>
      </c>
      <c r="B13" s="193">
        <v>0.1</v>
      </c>
      <c r="C13" s="194">
        <f>C9*B13</f>
        <v>870721.28250600724</v>
      </c>
      <c r="N13" s="7"/>
    </row>
    <row r="14" spans="1:14" ht="15.6">
      <c r="A14" s="131" t="s">
        <v>13</v>
      </c>
      <c r="B14" s="195">
        <v>8.5000000000000006E-2</v>
      </c>
      <c r="C14" s="196">
        <f>C9*B14</f>
        <v>740113.09013010608</v>
      </c>
      <c r="N14" s="7"/>
    </row>
    <row r="15" spans="1:14" ht="15.6">
      <c r="A15" s="139" t="s">
        <v>14</v>
      </c>
      <c r="B15" s="197">
        <v>1.4999999999999999E-2</v>
      </c>
      <c r="C15" s="198">
        <f>C9*B15</f>
        <v>130608.19237590107</v>
      </c>
      <c r="N15" s="7"/>
    </row>
    <row r="16" spans="1:14" ht="15.6">
      <c r="A16" s="139" t="s">
        <v>15</v>
      </c>
      <c r="B16" s="197"/>
      <c r="C16" s="198">
        <f>SUM(C9,C11:C15)</f>
        <v>11754737.313831097</v>
      </c>
      <c r="D16" s="5"/>
      <c r="E16" s="6"/>
      <c r="F16" s="6"/>
      <c r="G16" s="6"/>
      <c r="H16" s="6"/>
      <c r="I16" s="6"/>
      <c r="J16" s="6"/>
      <c r="K16" s="6"/>
      <c r="L16" s="6"/>
      <c r="M16" s="6"/>
      <c r="N16" s="8"/>
    </row>
    <row r="26" spans="3:3">
      <c r="C26" s="1"/>
    </row>
  </sheetData>
  <mergeCells count="4">
    <mergeCell ref="A1:N1"/>
    <mergeCell ref="A9:B9"/>
    <mergeCell ref="A10:C10"/>
    <mergeCell ref="C2:N3"/>
  </mergeCells>
  <pageMargins left="0.7" right="0.7" top="0.75" bottom="0.75" header="0.3" footer="0.3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J261"/>
  <sheetViews>
    <sheetView showGridLines="0" tabSelected="1" topLeftCell="A2" zoomScale="58" zoomScaleNormal="58" zoomScaleSheetLayoutView="85" workbookViewId="0">
      <pane ySplit="5" topLeftCell="A7" activePane="bottomLeft" state="frozen"/>
      <selection pane="bottomLeft" activeCell="D4" sqref="D4"/>
    </sheetView>
  </sheetViews>
  <sheetFormatPr defaultColWidth="9" defaultRowHeight="15.6"/>
  <cols>
    <col min="1" max="1" width="4.09765625" style="12" customWidth="1"/>
    <col min="2" max="2" width="9.19921875" style="12" customWidth="1"/>
    <col min="3" max="3" width="9.3984375" style="12" customWidth="1"/>
    <col min="4" max="4" width="68.8984375" style="12" customWidth="1"/>
    <col min="5" max="6" width="11.59765625" style="156" customWidth="1"/>
    <col min="7" max="7" width="14" style="156" customWidth="1"/>
    <col min="8" max="8" width="10.59765625" style="12" customWidth="1"/>
    <col min="9" max="10" width="14" style="156" customWidth="1"/>
    <col min="11" max="12" width="12.59765625" style="12" customWidth="1"/>
    <col min="13" max="13" width="14.3984375" style="12" customWidth="1"/>
    <col min="14" max="14" width="19.09765625" style="12" customWidth="1"/>
    <col min="15" max="15" width="14.69921875" style="12" customWidth="1"/>
    <col min="16" max="16" width="12.59765625" style="12" customWidth="1"/>
    <col min="17" max="17" width="15.19921875" style="113" customWidth="1"/>
    <col min="18" max="16384" width="9" style="12"/>
  </cols>
  <sheetData>
    <row r="1" spans="1:18" s="11" customFormat="1" ht="15" hidden="1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8" ht="18.600000000000001" thickBot="1">
      <c r="A2" s="223" t="s">
        <v>16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5"/>
    </row>
    <row r="3" spans="1:18" ht="17.399999999999999" customHeight="1">
      <c r="A3" s="13"/>
      <c r="B3" s="226" t="s">
        <v>17</v>
      </c>
      <c r="C3" s="226"/>
      <c r="D3" s="12" t="s">
        <v>238</v>
      </c>
      <c r="E3" s="14"/>
      <c r="F3" s="14"/>
      <c r="G3" s="15"/>
      <c r="H3" s="15"/>
      <c r="I3" s="15"/>
      <c r="J3" s="15"/>
      <c r="K3" s="15"/>
      <c r="L3" s="15"/>
      <c r="M3" s="15"/>
      <c r="N3" s="15"/>
      <c r="O3" s="16"/>
      <c r="P3" s="17"/>
      <c r="Q3" s="18"/>
    </row>
    <row r="4" spans="1:18" ht="18" customHeight="1">
      <c r="A4" s="13"/>
      <c r="B4" s="227" t="s">
        <v>18</v>
      </c>
      <c r="C4" s="227"/>
      <c r="D4" s="12" t="s">
        <v>239</v>
      </c>
      <c r="E4" s="19"/>
      <c r="F4" s="19"/>
      <c r="G4" s="19"/>
      <c r="H4" s="20"/>
      <c r="I4" s="19"/>
      <c r="J4" s="19"/>
      <c r="K4" s="15"/>
      <c r="L4" s="15"/>
      <c r="M4" s="15"/>
      <c r="N4" s="15"/>
      <c r="O4" s="16"/>
      <c r="P4" s="17"/>
      <c r="Q4" s="18"/>
    </row>
    <row r="5" spans="1:18" ht="24" customHeight="1">
      <c r="A5" s="13"/>
      <c r="B5" s="228" t="s">
        <v>19</v>
      </c>
      <c r="C5" s="228"/>
      <c r="D5" s="12" t="s">
        <v>237</v>
      </c>
      <c r="E5" s="21"/>
      <c r="F5" s="19"/>
      <c r="G5" s="19"/>
      <c r="H5" s="21"/>
      <c r="I5" s="19"/>
      <c r="J5" s="19"/>
      <c r="K5" s="22"/>
      <c r="L5" s="22"/>
      <c r="M5" s="22"/>
      <c r="N5" s="22"/>
      <c r="O5" s="23"/>
      <c r="P5" s="24"/>
      <c r="Q5" s="18"/>
    </row>
    <row r="6" spans="1:18" s="11" customFormat="1" ht="59.4" customHeight="1">
      <c r="A6" s="25" t="s">
        <v>20</v>
      </c>
      <c r="B6" s="26" t="s">
        <v>21</v>
      </c>
      <c r="C6" s="26" t="s">
        <v>22</v>
      </c>
      <c r="D6" s="201" t="s">
        <v>2</v>
      </c>
      <c r="E6" s="26" t="s">
        <v>23</v>
      </c>
      <c r="F6" s="26" t="s">
        <v>24</v>
      </c>
      <c r="G6" s="26" t="s">
        <v>25</v>
      </c>
      <c r="H6" s="26" t="s">
        <v>26</v>
      </c>
      <c r="I6" s="26" t="s">
        <v>27</v>
      </c>
      <c r="J6" s="26" t="s">
        <v>28</v>
      </c>
      <c r="K6" s="26" t="s">
        <v>29</v>
      </c>
      <c r="L6" s="26" t="s">
        <v>33</v>
      </c>
      <c r="M6" s="26" t="s">
        <v>30</v>
      </c>
      <c r="N6" s="26" t="s">
        <v>31</v>
      </c>
      <c r="O6" s="26" t="s">
        <v>32</v>
      </c>
      <c r="P6" s="26" t="s">
        <v>115</v>
      </c>
      <c r="Q6" s="28" t="s">
        <v>34</v>
      </c>
    </row>
    <row r="7" spans="1:18" s="33" customFormat="1" ht="18" customHeight="1">
      <c r="A7" s="29"/>
      <c r="B7" s="30"/>
      <c r="C7" s="31">
        <v>1</v>
      </c>
      <c r="D7" s="57" t="s">
        <v>35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2"/>
    </row>
    <row r="8" spans="1:18" ht="18" customHeight="1">
      <c r="A8" s="34">
        <f>IF(F8&lt;&gt;"",1+MAX($A$2:A7),"")</f>
        <v>1</v>
      </c>
      <c r="B8" s="35"/>
      <c r="C8" s="35"/>
      <c r="D8" s="36" t="s">
        <v>36</v>
      </c>
      <c r="E8" s="37">
        <v>1</v>
      </c>
      <c r="F8" s="38">
        <v>0</v>
      </c>
      <c r="G8" s="39">
        <f t="shared" ref="G8:G14" si="0">(F8*E8)+E8</f>
        <v>1</v>
      </c>
      <c r="H8" s="37" t="s">
        <v>37</v>
      </c>
      <c r="I8" s="48">
        <v>0</v>
      </c>
      <c r="J8" s="49">
        <f t="shared" ref="J8:J14" si="1">+I8*G8</f>
        <v>0</v>
      </c>
      <c r="K8" s="50">
        <v>0</v>
      </c>
      <c r="L8" s="51">
        <f t="shared" ref="L8:L14" si="2">I8*K8</f>
        <v>0</v>
      </c>
      <c r="M8" s="51">
        <f t="shared" ref="M8:M14" si="3">K8*J8</f>
        <v>0</v>
      </c>
      <c r="N8" s="51">
        <v>0</v>
      </c>
      <c r="O8" s="51">
        <f t="shared" ref="O8:O14" si="4">N8*G8</f>
        <v>0</v>
      </c>
      <c r="P8" s="51">
        <f>(I8*K8)+N8</f>
        <v>0</v>
      </c>
      <c r="Q8" s="40">
        <v>80000</v>
      </c>
      <c r="R8" s="41"/>
    </row>
    <row r="9" spans="1:18" ht="18" customHeight="1">
      <c r="A9" s="42">
        <f>IF(F9&lt;&gt;"",1+MAX($A$2:A8),"")</f>
        <v>2</v>
      </c>
      <c r="B9" s="43"/>
      <c r="C9" s="43"/>
      <c r="D9" s="44" t="s">
        <v>38</v>
      </c>
      <c r="E9" s="45">
        <v>1</v>
      </c>
      <c r="F9" s="46">
        <v>0</v>
      </c>
      <c r="G9" s="47">
        <f t="shared" si="0"/>
        <v>1</v>
      </c>
      <c r="H9" s="45" t="s">
        <v>37</v>
      </c>
      <c r="I9" s="48">
        <v>0</v>
      </c>
      <c r="J9" s="49">
        <f t="shared" si="1"/>
        <v>0</v>
      </c>
      <c r="K9" s="50">
        <v>0</v>
      </c>
      <c r="L9" s="51">
        <f t="shared" si="2"/>
        <v>0</v>
      </c>
      <c r="M9" s="51">
        <f t="shared" si="3"/>
        <v>0</v>
      </c>
      <c r="N9" s="51">
        <v>0</v>
      </c>
      <c r="O9" s="51">
        <f t="shared" si="4"/>
        <v>0</v>
      </c>
      <c r="P9" s="51">
        <f t="shared" ref="P9:P14" si="5">(I9*K9)+N9</f>
        <v>0</v>
      </c>
      <c r="Q9" s="52">
        <v>300000</v>
      </c>
      <c r="R9" s="41"/>
    </row>
    <row r="10" spans="1:18" ht="18" customHeight="1">
      <c r="A10" s="42">
        <f>IF(F10&lt;&gt;"",1+MAX($A$2:A9),"")</f>
        <v>3</v>
      </c>
      <c r="B10" s="43"/>
      <c r="C10" s="43"/>
      <c r="D10" s="44" t="s">
        <v>39</v>
      </c>
      <c r="E10" s="45">
        <v>1</v>
      </c>
      <c r="F10" s="46">
        <v>0</v>
      </c>
      <c r="G10" s="47">
        <f t="shared" si="0"/>
        <v>1</v>
      </c>
      <c r="H10" s="45" t="s">
        <v>37</v>
      </c>
      <c r="I10" s="48">
        <v>0</v>
      </c>
      <c r="J10" s="49">
        <f t="shared" si="1"/>
        <v>0</v>
      </c>
      <c r="K10" s="50">
        <v>0</v>
      </c>
      <c r="L10" s="51">
        <f t="shared" si="2"/>
        <v>0</v>
      </c>
      <c r="M10" s="51">
        <f t="shared" si="3"/>
        <v>0</v>
      </c>
      <c r="N10" s="51">
        <v>0</v>
      </c>
      <c r="O10" s="51">
        <f t="shared" si="4"/>
        <v>0</v>
      </c>
      <c r="P10" s="51">
        <f t="shared" si="5"/>
        <v>0</v>
      </c>
      <c r="Q10" s="52">
        <v>150000</v>
      </c>
      <c r="R10" s="41"/>
    </row>
    <row r="11" spans="1:18" ht="18" customHeight="1">
      <c r="A11" s="42">
        <f>IF(F11&lt;&gt;"",1+MAX($A$2:A10),"")</f>
        <v>4</v>
      </c>
      <c r="B11" s="43"/>
      <c r="C11" s="43"/>
      <c r="D11" s="44" t="s">
        <v>40</v>
      </c>
      <c r="E11" s="45">
        <v>1</v>
      </c>
      <c r="F11" s="46">
        <v>0</v>
      </c>
      <c r="G11" s="47">
        <f t="shared" si="0"/>
        <v>1</v>
      </c>
      <c r="H11" s="45" t="s">
        <v>37</v>
      </c>
      <c r="I11" s="48">
        <v>0</v>
      </c>
      <c r="J11" s="49">
        <f t="shared" si="1"/>
        <v>0</v>
      </c>
      <c r="K11" s="50">
        <v>0</v>
      </c>
      <c r="L11" s="51">
        <f t="shared" si="2"/>
        <v>0</v>
      </c>
      <c r="M11" s="51">
        <f t="shared" si="3"/>
        <v>0</v>
      </c>
      <c r="N11" s="51">
        <v>0</v>
      </c>
      <c r="O11" s="51">
        <f t="shared" si="4"/>
        <v>0</v>
      </c>
      <c r="P11" s="51">
        <f t="shared" si="5"/>
        <v>0</v>
      </c>
      <c r="Q11" s="52">
        <v>50000</v>
      </c>
      <c r="R11" s="41"/>
    </row>
    <row r="12" spans="1:18" ht="18" customHeight="1">
      <c r="A12" s="42">
        <f>IF(F12&lt;&gt;"",1+MAX($A$2:A11),"")</f>
        <v>5</v>
      </c>
      <c r="B12" s="43"/>
      <c r="C12" s="43"/>
      <c r="D12" s="44" t="s">
        <v>41</v>
      </c>
      <c r="E12" s="45">
        <v>1</v>
      </c>
      <c r="F12" s="46">
        <v>0</v>
      </c>
      <c r="G12" s="47">
        <f t="shared" si="0"/>
        <v>1</v>
      </c>
      <c r="H12" s="45" t="s">
        <v>37</v>
      </c>
      <c r="I12" s="48">
        <v>0</v>
      </c>
      <c r="J12" s="49">
        <f t="shared" si="1"/>
        <v>0</v>
      </c>
      <c r="K12" s="50">
        <v>0</v>
      </c>
      <c r="L12" s="51">
        <f t="shared" si="2"/>
        <v>0</v>
      </c>
      <c r="M12" s="51">
        <f t="shared" si="3"/>
        <v>0</v>
      </c>
      <c r="N12" s="51">
        <v>0</v>
      </c>
      <c r="O12" s="51">
        <f t="shared" si="4"/>
        <v>0</v>
      </c>
      <c r="P12" s="51">
        <f t="shared" si="5"/>
        <v>0</v>
      </c>
      <c r="Q12" s="52">
        <v>70000</v>
      </c>
      <c r="R12" s="41"/>
    </row>
    <row r="13" spans="1:18" ht="18" customHeight="1">
      <c r="A13" s="42">
        <f>IF(F13&lt;&gt;"",1+MAX($A$2:A12),"")</f>
        <v>6</v>
      </c>
      <c r="B13" s="43"/>
      <c r="C13" s="43"/>
      <c r="D13" s="44" t="s">
        <v>42</v>
      </c>
      <c r="E13" s="45">
        <v>1</v>
      </c>
      <c r="F13" s="46">
        <v>0</v>
      </c>
      <c r="G13" s="47">
        <f t="shared" si="0"/>
        <v>1</v>
      </c>
      <c r="H13" s="45" t="s">
        <v>37</v>
      </c>
      <c r="I13" s="48">
        <v>0</v>
      </c>
      <c r="J13" s="49">
        <f t="shared" si="1"/>
        <v>0</v>
      </c>
      <c r="K13" s="50">
        <v>0</v>
      </c>
      <c r="L13" s="51">
        <f t="shared" si="2"/>
        <v>0</v>
      </c>
      <c r="M13" s="51">
        <f t="shared" si="3"/>
        <v>0</v>
      </c>
      <c r="N13" s="51">
        <v>0</v>
      </c>
      <c r="O13" s="51">
        <f t="shared" si="4"/>
        <v>0</v>
      </c>
      <c r="P13" s="51">
        <f t="shared" si="5"/>
        <v>0</v>
      </c>
      <c r="Q13" s="52">
        <v>70000</v>
      </c>
      <c r="R13" s="41"/>
    </row>
    <row r="14" spans="1:18" ht="18" customHeight="1" thickBot="1">
      <c r="A14" s="42">
        <f>IF(F14&lt;&gt;"",1+MAX($A$2:A13),"")</f>
        <v>7</v>
      </c>
      <c r="B14" s="43"/>
      <c r="C14" s="43"/>
      <c r="D14" s="186" t="s">
        <v>43</v>
      </c>
      <c r="E14" s="62">
        <v>1</v>
      </c>
      <c r="F14" s="85">
        <v>0</v>
      </c>
      <c r="G14" s="84">
        <f t="shared" si="0"/>
        <v>1</v>
      </c>
      <c r="H14" s="62" t="s">
        <v>37</v>
      </c>
      <c r="I14" s="64">
        <v>0</v>
      </c>
      <c r="J14" s="108">
        <f t="shared" si="1"/>
        <v>0</v>
      </c>
      <c r="K14" s="109">
        <v>0</v>
      </c>
      <c r="L14" s="65">
        <f t="shared" si="2"/>
        <v>0</v>
      </c>
      <c r="M14" s="65">
        <f t="shared" si="3"/>
        <v>0</v>
      </c>
      <c r="N14" s="65">
        <v>0</v>
      </c>
      <c r="O14" s="65">
        <f t="shared" si="4"/>
        <v>0</v>
      </c>
      <c r="P14" s="51">
        <f t="shared" si="5"/>
        <v>0</v>
      </c>
      <c r="Q14" s="66">
        <v>80000</v>
      </c>
      <c r="R14" s="41"/>
    </row>
    <row r="15" spans="1:18" s="11" customFormat="1" ht="16.2" thickBot="1">
      <c r="A15" s="53" t="str">
        <f>IF(F15&lt;&gt;"",1+MAX($A$2:A14),"")</f>
        <v/>
      </c>
      <c r="B15" s="54"/>
      <c r="C15" s="67"/>
      <c r="D15" s="68" t="s">
        <v>44</v>
      </c>
      <c r="E15" s="69"/>
      <c r="F15" s="69"/>
      <c r="G15" s="69"/>
      <c r="H15" s="69"/>
      <c r="I15" s="69"/>
      <c r="J15" s="69"/>
      <c r="K15" s="70"/>
      <c r="L15" s="70"/>
      <c r="M15" s="70"/>
      <c r="N15" s="70"/>
      <c r="O15" s="70"/>
      <c r="P15" s="70"/>
      <c r="Q15" s="71">
        <f>SUM(Q8:Q14)</f>
        <v>800000</v>
      </c>
      <c r="R15" s="56"/>
    </row>
    <row r="16" spans="1:18" s="11" customFormat="1">
      <c r="A16" s="53" t="str">
        <f>IF(F16&lt;&gt;"",1+MAX($A$2:A15),"")</f>
        <v/>
      </c>
      <c r="B16" s="54"/>
      <c r="C16" s="54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4"/>
      <c r="R16" s="56"/>
    </row>
    <row r="17" spans="1:19" s="58" customFormat="1">
      <c r="A17" s="29" t="str">
        <f>IF(F17&lt;&gt;"",1+MAX($A$2:A16),"")</f>
        <v/>
      </c>
      <c r="B17" s="30"/>
      <c r="C17" s="31">
        <v>3</v>
      </c>
      <c r="D17" s="75" t="s">
        <v>45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204"/>
      <c r="S17" s="59"/>
    </row>
    <row r="18" spans="1:19" ht="18" customHeight="1">
      <c r="A18" s="107" t="str">
        <f>IF(F18&lt;&gt;"",1+MAX($A$2:A17),"")</f>
        <v/>
      </c>
      <c r="B18" s="55"/>
      <c r="C18" s="67"/>
      <c r="D18" s="111" t="s">
        <v>132</v>
      </c>
      <c r="E18" s="76"/>
      <c r="F18" s="77"/>
      <c r="G18" s="47"/>
      <c r="H18" s="47"/>
      <c r="I18" s="78"/>
      <c r="J18" s="47"/>
      <c r="K18" s="61"/>
      <c r="L18" s="61"/>
      <c r="M18" s="61"/>
      <c r="N18" s="61"/>
      <c r="O18" s="61"/>
      <c r="P18" s="61"/>
      <c r="Q18" s="79"/>
      <c r="R18" s="41"/>
      <c r="S18" s="41"/>
    </row>
    <row r="19" spans="1:19">
      <c r="A19" s="63">
        <f>IF(F19&lt;&gt;"",1+MAX($A$2:A18),"")</f>
        <v>8</v>
      </c>
      <c r="B19" s="80"/>
      <c r="C19" s="81"/>
      <c r="D19" s="209" t="s">
        <v>133</v>
      </c>
      <c r="E19" s="47">
        <f>4*3*3*1.5/27</f>
        <v>2</v>
      </c>
      <c r="F19" s="46">
        <v>0.1</v>
      </c>
      <c r="G19" s="47">
        <f t="shared" ref="G19" si="6">(F19*E19)+E19</f>
        <v>2.2000000000000002</v>
      </c>
      <c r="H19" s="60" t="s">
        <v>46</v>
      </c>
      <c r="I19" s="48">
        <v>3</v>
      </c>
      <c r="J19" s="49">
        <f t="shared" ref="J19" si="7">+I19*G19</f>
        <v>6.6000000000000005</v>
      </c>
      <c r="K19" s="50">
        <v>50</v>
      </c>
      <c r="L19" s="51">
        <f t="shared" ref="L19" si="8">I19*K19</f>
        <v>150</v>
      </c>
      <c r="M19" s="51">
        <f t="shared" ref="M19" si="9">K19*J19</f>
        <v>330</v>
      </c>
      <c r="N19" s="51">
        <v>230</v>
      </c>
      <c r="O19" s="51">
        <f t="shared" ref="O19" si="10">N19*G19</f>
        <v>506.00000000000006</v>
      </c>
      <c r="P19" s="51">
        <f t="shared" ref="P19" si="11">(I19*K19)+N19</f>
        <v>380</v>
      </c>
      <c r="Q19" s="101">
        <f t="shared" ref="Q19" si="12">P19*G19</f>
        <v>836.00000000000011</v>
      </c>
      <c r="R19" s="41"/>
      <c r="S19" s="41"/>
    </row>
    <row r="20" spans="1:19">
      <c r="A20" s="63">
        <f>IF(F20&lt;&gt;"",1+MAX($A$2:A19),"")</f>
        <v>9</v>
      </c>
      <c r="B20" s="80"/>
      <c r="C20" s="81"/>
      <c r="D20" s="82" t="s">
        <v>134</v>
      </c>
      <c r="E20" s="47">
        <f>4*(2.5+2.5)*4*1.043*2</f>
        <v>166.88</v>
      </c>
      <c r="F20" s="46">
        <v>0.1</v>
      </c>
      <c r="G20" s="47">
        <f t="shared" ref="G20" si="13">(F20*E20)+E20</f>
        <v>183.56799999999998</v>
      </c>
      <c r="H20" s="60" t="s">
        <v>47</v>
      </c>
      <c r="I20" s="48">
        <v>1.4999999999999999E-2</v>
      </c>
      <c r="J20" s="49">
        <f t="shared" ref="J20" si="14">+I20*G20</f>
        <v>2.7535199999999995</v>
      </c>
      <c r="K20" s="50">
        <v>50</v>
      </c>
      <c r="L20" s="51">
        <f t="shared" ref="L20" si="15">I20*K20</f>
        <v>0.75</v>
      </c>
      <c r="M20" s="51">
        <f t="shared" ref="M20" si="16">K20*J20</f>
        <v>137.67599999999999</v>
      </c>
      <c r="N20" s="51">
        <v>1.1000000000000001</v>
      </c>
      <c r="O20" s="51">
        <f t="shared" ref="O20" si="17">N20*G20</f>
        <v>201.9248</v>
      </c>
      <c r="P20" s="51">
        <f t="shared" ref="P20" si="18">(I20*K20)+N20</f>
        <v>1.85</v>
      </c>
      <c r="Q20" s="101">
        <f t="shared" ref="Q20" si="19">P20*G20</f>
        <v>339.60079999999999</v>
      </c>
      <c r="R20" s="41"/>
      <c r="S20" s="41"/>
    </row>
    <row r="21" spans="1:19">
      <c r="A21" s="63">
        <f>IF(F21&lt;&gt;"",1+MAX($A$2:A20),"")</f>
        <v>10</v>
      </c>
      <c r="B21" s="80"/>
      <c r="C21" s="81"/>
      <c r="D21" s="82" t="s">
        <v>50</v>
      </c>
      <c r="E21" s="47">
        <f>E19*1.25</f>
        <v>2.5</v>
      </c>
      <c r="F21" s="46">
        <v>0.1</v>
      </c>
      <c r="G21" s="47">
        <f t="shared" ref="G21:G22" si="20">(F21*E21)+E21</f>
        <v>2.75</v>
      </c>
      <c r="H21" s="60" t="s">
        <v>46</v>
      </c>
      <c r="I21" s="48">
        <v>1.1000000000000001</v>
      </c>
      <c r="J21" s="49">
        <f t="shared" ref="J21:J22" si="21">+I21*G21</f>
        <v>3.0250000000000004</v>
      </c>
      <c r="K21" s="50">
        <v>50</v>
      </c>
      <c r="L21" s="51">
        <f t="shared" ref="L21:L22" si="22">I21*K21</f>
        <v>55.000000000000007</v>
      </c>
      <c r="M21" s="51">
        <f t="shared" ref="M21:M22" si="23">K21*J21</f>
        <v>151.25000000000003</v>
      </c>
      <c r="N21" s="51">
        <v>0</v>
      </c>
      <c r="O21" s="51">
        <f t="shared" ref="O21:O22" si="24">N21*G21</f>
        <v>0</v>
      </c>
      <c r="P21" s="51">
        <f t="shared" ref="P21:P22" si="25">(I21*K21)+N21</f>
        <v>55.000000000000007</v>
      </c>
      <c r="Q21" s="101">
        <f t="shared" ref="Q21:Q22" si="26">P21*G21</f>
        <v>151.25000000000003</v>
      </c>
      <c r="R21" s="41"/>
      <c r="S21" s="41"/>
    </row>
    <row r="22" spans="1:19">
      <c r="A22" s="63">
        <f>IF(F22&lt;&gt;"",1+MAX($A$2:A21),"")</f>
        <v>11</v>
      </c>
      <c r="B22" s="80"/>
      <c r="C22" s="81"/>
      <c r="D22" s="82" t="s">
        <v>48</v>
      </c>
      <c r="E22" s="47">
        <f>4*(3+3)*1.5*2</f>
        <v>72</v>
      </c>
      <c r="F22" s="46">
        <v>0.1</v>
      </c>
      <c r="G22" s="47">
        <f t="shared" si="20"/>
        <v>79.2</v>
      </c>
      <c r="H22" s="60" t="s">
        <v>49</v>
      </c>
      <c r="I22" s="48">
        <v>0.09</v>
      </c>
      <c r="J22" s="49">
        <f t="shared" si="21"/>
        <v>7.1280000000000001</v>
      </c>
      <c r="K22" s="50">
        <v>50</v>
      </c>
      <c r="L22" s="51">
        <f t="shared" si="22"/>
        <v>4.5</v>
      </c>
      <c r="M22" s="51">
        <f t="shared" si="23"/>
        <v>356.4</v>
      </c>
      <c r="N22" s="51">
        <v>0</v>
      </c>
      <c r="O22" s="51">
        <f t="shared" si="24"/>
        <v>0</v>
      </c>
      <c r="P22" s="51">
        <f t="shared" si="25"/>
        <v>4.5</v>
      </c>
      <c r="Q22" s="101">
        <f t="shared" si="26"/>
        <v>356.40000000000003</v>
      </c>
      <c r="R22" s="41"/>
      <c r="S22" s="41"/>
    </row>
    <row r="23" spans="1:19">
      <c r="A23" s="63" t="str">
        <f>IF(F23&lt;&gt;"",1+MAX($A$2:A22),"")</f>
        <v/>
      </c>
      <c r="B23" s="80"/>
      <c r="C23" s="81"/>
      <c r="D23" s="82"/>
      <c r="E23" s="47"/>
      <c r="F23" s="46"/>
      <c r="G23" s="47"/>
      <c r="H23" s="60"/>
      <c r="I23" s="48"/>
      <c r="J23" s="49"/>
      <c r="K23" s="50"/>
      <c r="L23" s="51"/>
      <c r="M23" s="51"/>
      <c r="N23" s="51"/>
      <c r="O23" s="51"/>
      <c r="P23" s="51"/>
      <c r="Q23" s="101"/>
      <c r="R23" s="41"/>
      <c r="S23" s="41"/>
    </row>
    <row r="24" spans="1:19">
      <c r="A24" s="63">
        <f>IF(F24&lt;&gt;"",1+MAX($A$2:A23),"")</f>
        <v>12</v>
      </c>
      <c r="B24" s="80"/>
      <c r="C24" s="81"/>
      <c r="D24" s="209" t="s">
        <v>135</v>
      </c>
      <c r="E24" s="47">
        <f>19*4.5*4.5*1.5/27</f>
        <v>21.375</v>
      </c>
      <c r="F24" s="46">
        <v>0.1</v>
      </c>
      <c r="G24" s="47">
        <f t="shared" ref="G24:G27" si="27">(F24*E24)+E24</f>
        <v>23.512499999999999</v>
      </c>
      <c r="H24" s="60" t="s">
        <v>46</v>
      </c>
      <c r="I24" s="48">
        <v>3</v>
      </c>
      <c r="J24" s="49">
        <f t="shared" ref="J24:J27" si="28">+I24*G24</f>
        <v>70.537499999999994</v>
      </c>
      <c r="K24" s="50">
        <v>50</v>
      </c>
      <c r="L24" s="51">
        <f t="shared" ref="L24:L27" si="29">I24*K24</f>
        <v>150</v>
      </c>
      <c r="M24" s="51">
        <f t="shared" ref="M24:M27" si="30">K24*J24</f>
        <v>3526.8749999999995</v>
      </c>
      <c r="N24" s="51">
        <v>230</v>
      </c>
      <c r="O24" s="51">
        <f t="shared" ref="O24:O27" si="31">N24*G24</f>
        <v>5407.875</v>
      </c>
      <c r="P24" s="51">
        <f t="shared" ref="P24:P27" si="32">(I24*K24)+N24</f>
        <v>380</v>
      </c>
      <c r="Q24" s="101">
        <f t="shared" ref="Q24:Q27" si="33">P24*G24</f>
        <v>8934.75</v>
      </c>
      <c r="R24" s="41"/>
      <c r="S24" s="41"/>
    </row>
    <row r="25" spans="1:19">
      <c r="A25" s="63">
        <f>IF(F25&lt;&gt;"",1+MAX($A$2:A24),"")</f>
        <v>13</v>
      </c>
      <c r="B25" s="80"/>
      <c r="C25" s="81"/>
      <c r="D25" s="82" t="s">
        <v>136</v>
      </c>
      <c r="E25" s="47">
        <f>19*(4+4)*5*1.043*2</f>
        <v>1585.36</v>
      </c>
      <c r="F25" s="46">
        <v>0.1</v>
      </c>
      <c r="G25" s="47">
        <f t="shared" si="27"/>
        <v>1743.896</v>
      </c>
      <c r="H25" s="60" t="s">
        <v>47</v>
      </c>
      <c r="I25" s="48">
        <v>1.4999999999999999E-2</v>
      </c>
      <c r="J25" s="49">
        <f t="shared" si="28"/>
        <v>26.158439999999999</v>
      </c>
      <c r="K25" s="50">
        <v>50</v>
      </c>
      <c r="L25" s="51">
        <f t="shared" si="29"/>
        <v>0.75</v>
      </c>
      <c r="M25" s="51">
        <f t="shared" si="30"/>
        <v>1307.922</v>
      </c>
      <c r="N25" s="51">
        <v>1.1000000000000001</v>
      </c>
      <c r="O25" s="51">
        <f t="shared" si="31"/>
        <v>1918.2856000000002</v>
      </c>
      <c r="P25" s="51">
        <f t="shared" si="32"/>
        <v>1.85</v>
      </c>
      <c r="Q25" s="101">
        <f t="shared" si="33"/>
        <v>3226.2076000000002</v>
      </c>
      <c r="R25" s="41"/>
      <c r="S25" s="41"/>
    </row>
    <row r="26" spans="1:19">
      <c r="A26" s="63">
        <f>IF(F26&lt;&gt;"",1+MAX($A$2:A25),"")</f>
        <v>14</v>
      </c>
      <c r="B26" s="80"/>
      <c r="C26" s="81"/>
      <c r="D26" s="82" t="s">
        <v>50</v>
      </c>
      <c r="E26" s="47">
        <f>E24*1.25</f>
        <v>26.71875</v>
      </c>
      <c r="F26" s="46">
        <v>0.1</v>
      </c>
      <c r="G26" s="47">
        <f t="shared" si="27"/>
        <v>29.390625</v>
      </c>
      <c r="H26" s="60" t="s">
        <v>46</v>
      </c>
      <c r="I26" s="48">
        <v>1.1000000000000001</v>
      </c>
      <c r="J26" s="49">
        <f t="shared" si="28"/>
        <v>32.329687500000006</v>
      </c>
      <c r="K26" s="50">
        <v>50</v>
      </c>
      <c r="L26" s="51">
        <f t="shared" si="29"/>
        <v>55.000000000000007</v>
      </c>
      <c r="M26" s="51">
        <f t="shared" si="30"/>
        <v>1616.4843750000002</v>
      </c>
      <c r="N26" s="51">
        <v>0</v>
      </c>
      <c r="O26" s="51">
        <f t="shared" si="31"/>
        <v>0</v>
      </c>
      <c r="P26" s="51">
        <f t="shared" si="32"/>
        <v>55.000000000000007</v>
      </c>
      <c r="Q26" s="101">
        <f t="shared" si="33"/>
        <v>1616.4843750000002</v>
      </c>
      <c r="R26" s="41"/>
      <c r="S26" s="41"/>
    </row>
    <row r="27" spans="1:19">
      <c r="A27" s="63">
        <f>IF(F27&lt;&gt;"",1+MAX($A$2:A26),"")</f>
        <v>15</v>
      </c>
      <c r="B27" s="80"/>
      <c r="C27" s="81"/>
      <c r="D27" s="82" t="s">
        <v>48</v>
      </c>
      <c r="E27" s="47">
        <f>19*(4.5+4.5)*1.5*2</f>
        <v>513</v>
      </c>
      <c r="F27" s="46">
        <v>0.1</v>
      </c>
      <c r="G27" s="47">
        <f t="shared" si="27"/>
        <v>564.29999999999995</v>
      </c>
      <c r="H27" s="60" t="s">
        <v>49</v>
      </c>
      <c r="I27" s="48">
        <v>0.09</v>
      </c>
      <c r="J27" s="49">
        <f t="shared" si="28"/>
        <v>50.786999999999992</v>
      </c>
      <c r="K27" s="50">
        <v>50</v>
      </c>
      <c r="L27" s="51">
        <f t="shared" si="29"/>
        <v>4.5</v>
      </c>
      <c r="M27" s="51">
        <f t="shared" si="30"/>
        <v>2539.3499999999995</v>
      </c>
      <c r="N27" s="51">
        <v>0</v>
      </c>
      <c r="O27" s="51">
        <f t="shared" si="31"/>
        <v>0</v>
      </c>
      <c r="P27" s="51">
        <f t="shared" si="32"/>
        <v>4.5</v>
      </c>
      <c r="Q27" s="101">
        <f t="shared" si="33"/>
        <v>2539.35</v>
      </c>
      <c r="R27" s="41"/>
      <c r="S27" s="41"/>
    </row>
    <row r="28" spans="1:19">
      <c r="A28" s="63" t="str">
        <f>IF(F28&lt;&gt;"",1+MAX($A$2:A27),"")</f>
        <v/>
      </c>
      <c r="B28" s="80"/>
      <c r="C28" s="81"/>
      <c r="D28" s="82"/>
      <c r="E28" s="47"/>
      <c r="F28" s="46"/>
      <c r="G28" s="47"/>
      <c r="H28" s="60"/>
      <c r="I28" s="48"/>
      <c r="J28" s="49"/>
      <c r="K28" s="50"/>
      <c r="L28" s="51"/>
      <c r="M28" s="51"/>
      <c r="N28" s="51"/>
      <c r="O28" s="51"/>
      <c r="P28" s="51"/>
      <c r="Q28" s="101"/>
      <c r="R28" s="41"/>
      <c r="S28" s="41"/>
    </row>
    <row r="29" spans="1:19">
      <c r="A29" s="63">
        <f>IF(F29&lt;&gt;"",1+MAX($A$2:A28),"")</f>
        <v>16</v>
      </c>
      <c r="B29" s="80"/>
      <c r="C29" s="81"/>
      <c r="D29" s="209" t="s">
        <v>137</v>
      </c>
      <c r="E29" s="47">
        <f>8*6*6*2/27</f>
        <v>21.333333333333332</v>
      </c>
      <c r="F29" s="46">
        <v>0.1</v>
      </c>
      <c r="G29" s="47">
        <f t="shared" ref="G29:G32" si="34">(F29*E29)+E29</f>
        <v>23.466666666666665</v>
      </c>
      <c r="H29" s="60" t="s">
        <v>46</v>
      </c>
      <c r="I29" s="48">
        <v>3</v>
      </c>
      <c r="J29" s="49">
        <f t="shared" ref="J29:J32" si="35">+I29*G29</f>
        <v>70.399999999999991</v>
      </c>
      <c r="K29" s="50">
        <v>50</v>
      </c>
      <c r="L29" s="51">
        <f t="shared" ref="L29:L32" si="36">I29*K29</f>
        <v>150</v>
      </c>
      <c r="M29" s="51">
        <f t="shared" ref="M29:M32" si="37">K29*J29</f>
        <v>3519.9999999999995</v>
      </c>
      <c r="N29" s="51">
        <v>230</v>
      </c>
      <c r="O29" s="51">
        <f t="shared" ref="O29:O32" si="38">N29*G29</f>
        <v>5397.333333333333</v>
      </c>
      <c r="P29" s="51">
        <f t="shared" ref="P29:P32" si="39">(I29*K29)+N29</f>
        <v>380</v>
      </c>
      <c r="Q29" s="101">
        <f t="shared" ref="Q29:Q32" si="40">P29*G29</f>
        <v>8917.3333333333321</v>
      </c>
      <c r="R29" s="41"/>
      <c r="S29" s="41"/>
    </row>
    <row r="30" spans="1:19">
      <c r="A30" s="63">
        <f>IF(F30&lt;&gt;"",1+MAX($A$2:A29),"")</f>
        <v>17</v>
      </c>
      <c r="B30" s="80"/>
      <c r="C30" s="81"/>
      <c r="D30" s="82" t="s">
        <v>138</v>
      </c>
      <c r="E30" s="47">
        <f>8*(5.5+5.5)*6*1.502*2</f>
        <v>1586.1120000000001</v>
      </c>
      <c r="F30" s="46">
        <v>0.1</v>
      </c>
      <c r="G30" s="47">
        <f t="shared" si="34"/>
        <v>1744.7232000000001</v>
      </c>
      <c r="H30" s="60" t="s">
        <v>47</v>
      </c>
      <c r="I30" s="48">
        <v>1.4999999999999999E-2</v>
      </c>
      <c r="J30" s="49">
        <f t="shared" si="35"/>
        <v>26.170847999999999</v>
      </c>
      <c r="K30" s="50">
        <v>50</v>
      </c>
      <c r="L30" s="51">
        <f t="shared" si="36"/>
        <v>0.75</v>
      </c>
      <c r="M30" s="51">
        <f t="shared" si="37"/>
        <v>1308.5424</v>
      </c>
      <c r="N30" s="51">
        <v>1.1000000000000001</v>
      </c>
      <c r="O30" s="51">
        <f t="shared" si="38"/>
        <v>1919.1955200000002</v>
      </c>
      <c r="P30" s="51">
        <f t="shared" si="39"/>
        <v>1.85</v>
      </c>
      <c r="Q30" s="101">
        <f t="shared" si="40"/>
        <v>3227.7379200000005</v>
      </c>
      <c r="R30" s="41"/>
      <c r="S30" s="41"/>
    </row>
    <row r="31" spans="1:19">
      <c r="A31" s="63">
        <f>IF(F31&lt;&gt;"",1+MAX($A$2:A30),"")</f>
        <v>18</v>
      </c>
      <c r="B31" s="80"/>
      <c r="C31" s="81"/>
      <c r="D31" s="82" t="s">
        <v>50</v>
      </c>
      <c r="E31" s="47">
        <f>E29*1.25</f>
        <v>26.666666666666664</v>
      </c>
      <c r="F31" s="46">
        <v>0.1</v>
      </c>
      <c r="G31" s="47">
        <f t="shared" si="34"/>
        <v>29.333333333333332</v>
      </c>
      <c r="H31" s="60" t="s">
        <v>46</v>
      </c>
      <c r="I31" s="48">
        <v>1.1000000000000001</v>
      </c>
      <c r="J31" s="49">
        <f t="shared" si="35"/>
        <v>32.266666666666666</v>
      </c>
      <c r="K31" s="50">
        <v>50</v>
      </c>
      <c r="L31" s="51">
        <f t="shared" si="36"/>
        <v>55.000000000000007</v>
      </c>
      <c r="M31" s="51">
        <f t="shared" si="37"/>
        <v>1613.3333333333333</v>
      </c>
      <c r="N31" s="51">
        <v>0</v>
      </c>
      <c r="O31" s="51">
        <f t="shared" si="38"/>
        <v>0</v>
      </c>
      <c r="P31" s="51">
        <f t="shared" si="39"/>
        <v>55.000000000000007</v>
      </c>
      <c r="Q31" s="101">
        <f t="shared" si="40"/>
        <v>1613.3333333333335</v>
      </c>
      <c r="R31" s="41"/>
      <c r="S31" s="41"/>
    </row>
    <row r="32" spans="1:19">
      <c r="A32" s="63">
        <f>IF(F32&lt;&gt;"",1+MAX($A$2:A31),"")</f>
        <v>19</v>
      </c>
      <c r="B32" s="80"/>
      <c r="C32" s="81"/>
      <c r="D32" s="82" t="s">
        <v>48</v>
      </c>
      <c r="E32" s="47">
        <f>8*(6+6)*2*2</f>
        <v>384</v>
      </c>
      <c r="F32" s="46">
        <v>0.1</v>
      </c>
      <c r="G32" s="47">
        <f t="shared" si="34"/>
        <v>422.4</v>
      </c>
      <c r="H32" s="60" t="s">
        <v>49</v>
      </c>
      <c r="I32" s="48">
        <v>0.09</v>
      </c>
      <c r="J32" s="49">
        <f t="shared" si="35"/>
        <v>38.015999999999998</v>
      </c>
      <c r="K32" s="50">
        <v>50</v>
      </c>
      <c r="L32" s="51">
        <f t="shared" si="36"/>
        <v>4.5</v>
      </c>
      <c r="M32" s="51">
        <f t="shared" si="37"/>
        <v>1900.8</v>
      </c>
      <c r="N32" s="51">
        <v>0</v>
      </c>
      <c r="O32" s="51">
        <f t="shared" si="38"/>
        <v>0</v>
      </c>
      <c r="P32" s="51">
        <f t="shared" si="39"/>
        <v>4.5</v>
      </c>
      <c r="Q32" s="101">
        <f t="shared" si="40"/>
        <v>1900.8</v>
      </c>
      <c r="R32" s="41"/>
      <c r="S32" s="41"/>
    </row>
    <row r="33" spans="1:19">
      <c r="A33" s="63" t="str">
        <f>IF(F33&lt;&gt;"",1+MAX($A$2:A32),"")</f>
        <v/>
      </c>
      <c r="B33" s="80"/>
      <c r="C33" s="81"/>
      <c r="D33" s="82"/>
      <c r="E33" s="47"/>
      <c r="F33" s="46"/>
      <c r="G33" s="47"/>
      <c r="H33" s="60"/>
      <c r="I33" s="48"/>
      <c r="J33" s="49"/>
      <c r="K33" s="50"/>
      <c r="L33" s="51"/>
      <c r="M33" s="51"/>
      <c r="N33" s="51"/>
      <c r="O33" s="51"/>
      <c r="P33" s="51"/>
      <c r="Q33" s="101"/>
      <c r="R33" s="41"/>
      <c r="S33" s="41"/>
    </row>
    <row r="34" spans="1:19">
      <c r="A34" s="63">
        <f>IF(F34&lt;&gt;"",1+MAX($A$2:A33),"")</f>
        <v>20</v>
      </c>
      <c r="B34" s="80"/>
      <c r="C34" s="81"/>
      <c r="D34" s="209" t="s">
        <v>139</v>
      </c>
      <c r="E34" s="47">
        <f>11*7*7*2/27</f>
        <v>39.925925925925924</v>
      </c>
      <c r="F34" s="46">
        <v>0.1</v>
      </c>
      <c r="G34" s="47">
        <f t="shared" ref="G34:G37" si="41">(F34*E34)+E34</f>
        <v>43.918518518518518</v>
      </c>
      <c r="H34" s="60" t="s">
        <v>46</v>
      </c>
      <c r="I34" s="48">
        <v>3</v>
      </c>
      <c r="J34" s="49">
        <f t="shared" ref="J34:J37" si="42">+I34*G34</f>
        <v>131.75555555555556</v>
      </c>
      <c r="K34" s="50">
        <v>50</v>
      </c>
      <c r="L34" s="51">
        <f t="shared" ref="L34:L37" si="43">I34*K34</f>
        <v>150</v>
      </c>
      <c r="M34" s="51">
        <f t="shared" ref="M34:M37" si="44">K34*J34</f>
        <v>6587.7777777777783</v>
      </c>
      <c r="N34" s="51">
        <v>230</v>
      </c>
      <c r="O34" s="51">
        <f t="shared" ref="O34:O37" si="45">N34*G34</f>
        <v>10101.259259259259</v>
      </c>
      <c r="P34" s="51">
        <f t="shared" ref="P34:P37" si="46">(I34*K34)+N34</f>
        <v>380</v>
      </c>
      <c r="Q34" s="101">
        <f t="shared" ref="Q34:Q37" si="47">P34*G34</f>
        <v>16689.037037037036</v>
      </c>
      <c r="R34" s="41"/>
      <c r="S34" s="41"/>
    </row>
    <row r="35" spans="1:19">
      <c r="A35" s="63">
        <f>IF(F35&lt;&gt;"",1+MAX($A$2:A34),"")</f>
        <v>21</v>
      </c>
      <c r="B35" s="80"/>
      <c r="C35" s="81"/>
      <c r="D35" s="82" t="s">
        <v>140</v>
      </c>
      <c r="E35" s="47">
        <f>11*(6.5+6.5)*7*1.502*2</f>
        <v>3007.0039999999999</v>
      </c>
      <c r="F35" s="46">
        <v>0.1</v>
      </c>
      <c r="G35" s="47">
        <f t="shared" si="41"/>
        <v>3307.7044000000001</v>
      </c>
      <c r="H35" s="60" t="s">
        <v>47</v>
      </c>
      <c r="I35" s="48">
        <v>1.4999999999999999E-2</v>
      </c>
      <c r="J35" s="49">
        <f t="shared" si="42"/>
        <v>49.615566000000001</v>
      </c>
      <c r="K35" s="50">
        <v>50</v>
      </c>
      <c r="L35" s="51">
        <f t="shared" si="43"/>
        <v>0.75</v>
      </c>
      <c r="M35" s="51">
        <f t="shared" si="44"/>
        <v>2480.7782999999999</v>
      </c>
      <c r="N35" s="51">
        <v>1.1000000000000001</v>
      </c>
      <c r="O35" s="51">
        <f t="shared" si="45"/>
        <v>3638.4748400000003</v>
      </c>
      <c r="P35" s="51">
        <f t="shared" si="46"/>
        <v>1.85</v>
      </c>
      <c r="Q35" s="101">
        <f t="shared" si="47"/>
        <v>6119.2531400000007</v>
      </c>
      <c r="R35" s="41"/>
      <c r="S35" s="41"/>
    </row>
    <row r="36" spans="1:19">
      <c r="A36" s="63">
        <f>IF(F36&lt;&gt;"",1+MAX($A$2:A35),"")</f>
        <v>22</v>
      </c>
      <c r="B36" s="80"/>
      <c r="C36" s="81"/>
      <c r="D36" s="82" t="s">
        <v>50</v>
      </c>
      <c r="E36" s="47">
        <f>E34*1.25</f>
        <v>49.907407407407405</v>
      </c>
      <c r="F36" s="46">
        <v>0.1</v>
      </c>
      <c r="G36" s="47">
        <f t="shared" si="41"/>
        <v>54.898148148148145</v>
      </c>
      <c r="H36" s="60" t="s">
        <v>46</v>
      </c>
      <c r="I36" s="48">
        <v>1.1000000000000001</v>
      </c>
      <c r="J36" s="49">
        <f t="shared" si="42"/>
        <v>60.387962962962966</v>
      </c>
      <c r="K36" s="50">
        <v>50</v>
      </c>
      <c r="L36" s="51">
        <f t="shared" si="43"/>
        <v>55.000000000000007</v>
      </c>
      <c r="M36" s="51">
        <f t="shared" si="44"/>
        <v>3019.3981481481483</v>
      </c>
      <c r="N36" s="51">
        <v>0</v>
      </c>
      <c r="O36" s="51">
        <f t="shared" si="45"/>
        <v>0</v>
      </c>
      <c r="P36" s="51">
        <f t="shared" si="46"/>
        <v>55.000000000000007</v>
      </c>
      <c r="Q36" s="101">
        <f t="shared" si="47"/>
        <v>3019.3981481481483</v>
      </c>
      <c r="R36" s="41"/>
      <c r="S36" s="41"/>
    </row>
    <row r="37" spans="1:19">
      <c r="A37" s="63">
        <f>IF(F37&lt;&gt;"",1+MAX($A$2:A36),"")</f>
        <v>23</v>
      </c>
      <c r="B37" s="80"/>
      <c r="C37" s="81"/>
      <c r="D37" s="82" t="s">
        <v>48</v>
      </c>
      <c r="E37" s="47">
        <f>11*(7+7)*2*2</f>
        <v>616</v>
      </c>
      <c r="F37" s="46">
        <v>0.1</v>
      </c>
      <c r="G37" s="47">
        <f t="shared" si="41"/>
        <v>677.6</v>
      </c>
      <c r="H37" s="60" t="s">
        <v>49</v>
      </c>
      <c r="I37" s="48">
        <v>0.09</v>
      </c>
      <c r="J37" s="49">
        <f t="shared" si="42"/>
        <v>60.984000000000002</v>
      </c>
      <c r="K37" s="50">
        <v>50</v>
      </c>
      <c r="L37" s="51">
        <f t="shared" si="43"/>
        <v>4.5</v>
      </c>
      <c r="M37" s="51">
        <f t="shared" si="44"/>
        <v>3049.2000000000003</v>
      </c>
      <c r="N37" s="51">
        <v>0</v>
      </c>
      <c r="O37" s="51">
        <f t="shared" si="45"/>
        <v>0</v>
      </c>
      <c r="P37" s="51">
        <f t="shared" si="46"/>
        <v>4.5</v>
      </c>
      <c r="Q37" s="101">
        <f t="shared" si="47"/>
        <v>3049.2000000000003</v>
      </c>
      <c r="R37" s="41"/>
      <c r="S37" s="41"/>
    </row>
    <row r="38" spans="1:19">
      <c r="A38" s="63" t="str">
        <f>IF(F38&lt;&gt;"",1+MAX($A$2:A37),"")</f>
        <v/>
      </c>
      <c r="B38" s="80"/>
      <c r="C38" s="81"/>
      <c r="D38" s="82"/>
      <c r="E38" s="47"/>
      <c r="F38" s="46"/>
      <c r="G38" s="47"/>
      <c r="H38" s="60"/>
      <c r="I38" s="48"/>
      <c r="J38" s="49"/>
      <c r="K38" s="50"/>
      <c r="L38" s="51"/>
      <c r="M38" s="51"/>
      <c r="N38" s="51"/>
      <c r="O38" s="51"/>
      <c r="P38" s="51"/>
      <c r="Q38" s="101"/>
      <c r="R38" s="41"/>
      <c r="S38" s="41"/>
    </row>
    <row r="39" spans="1:19">
      <c r="A39" s="63">
        <f>IF(F39&lt;&gt;"",1+MAX($A$2:A38),"")</f>
        <v>24</v>
      </c>
      <c r="B39" s="80"/>
      <c r="C39" s="81"/>
      <c r="D39" s="209" t="s">
        <v>141</v>
      </c>
      <c r="E39" s="47">
        <f>29*8*8*2/27</f>
        <v>137.4814814814815</v>
      </c>
      <c r="F39" s="46">
        <v>0.1</v>
      </c>
      <c r="G39" s="47">
        <f t="shared" ref="G39:G42" si="48">(F39*E39)+E39</f>
        <v>151.22962962962964</v>
      </c>
      <c r="H39" s="60" t="s">
        <v>46</v>
      </c>
      <c r="I39" s="48">
        <v>3</v>
      </c>
      <c r="J39" s="49">
        <f t="shared" ref="J39:J42" si="49">+I39*G39</f>
        <v>453.68888888888893</v>
      </c>
      <c r="K39" s="50">
        <v>50</v>
      </c>
      <c r="L39" s="51">
        <f t="shared" ref="L39:L42" si="50">I39*K39</f>
        <v>150</v>
      </c>
      <c r="M39" s="51">
        <f t="shared" ref="M39:M42" si="51">K39*J39</f>
        <v>22684.444444444445</v>
      </c>
      <c r="N39" s="51">
        <v>230</v>
      </c>
      <c r="O39" s="51">
        <f t="shared" ref="O39:O42" si="52">N39*G39</f>
        <v>34782.814814814818</v>
      </c>
      <c r="P39" s="51">
        <f t="shared" ref="P39:P42" si="53">(I39*K39)+N39</f>
        <v>380</v>
      </c>
      <c r="Q39" s="101">
        <f t="shared" ref="Q39:Q42" si="54">P39*G39</f>
        <v>57467.259259259263</v>
      </c>
      <c r="R39" s="41"/>
      <c r="S39" s="41"/>
    </row>
    <row r="40" spans="1:19">
      <c r="A40" s="63">
        <f>IF(F40&lt;&gt;"",1+MAX($A$2:A39),"")</f>
        <v>25</v>
      </c>
      <c r="B40" s="80"/>
      <c r="C40" s="81"/>
      <c r="D40" s="82" t="s">
        <v>142</v>
      </c>
      <c r="E40" s="47">
        <f>29*(7.5+7.5)*7*2.044*2</f>
        <v>12447.960000000001</v>
      </c>
      <c r="F40" s="46">
        <v>0.1</v>
      </c>
      <c r="G40" s="47">
        <f t="shared" si="48"/>
        <v>13692.756000000001</v>
      </c>
      <c r="H40" s="60" t="s">
        <v>47</v>
      </c>
      <c r="I40" s="48">
        <v>1.4999999999999999E-2</v>
      </c>
      <c r="J40" s="49">
        <f t="shared" si="49"/>
        <v>205.39134000000001</v>
      </c>
      <c r="K40" s="50">
        <v>50</v>
      </c>
      <c r="L40" s="51">
        <f t="shared" si="50"/>
        <v>0.75</v>
      </c>
      <c r="M40" s="51">
        <f t="shared" si="51"/>
        <v>10269.567000000001</v>
      </c>
      <c r="N40" s="51">
        <v>1.1000000000000001</v>
      </c>
      <c r="O40" s="51">
        <f t="shared" si="52"/>
        <v>15062.031600000002</v>
      </c>
      <c r="P40" s="51">
        <f t="shared" si="53"/>
        <v>1.85</v>
      </c>
      <c r="Q40" s="101">
        <f t="shared" si="54"/>
        <v>25331.598600000005</v>
      </c>
      <c r="R40" s="41"/>
      <c r="S40" s="41"/>
    </row>
    <row r="41" spans="1:19">
      <c r="A41" s="63">
        <f>IF(F41&lt;&gt;"",1+MAX($A$2:A40),"")</f>
        <v>26</v>
      </c>
      <c r="B41" s="80"/>
      <c r="C41" s="81"/>
      <c r="D41" s="82" t="s">
        <v>50</v>
      </c>
      <c r="E41" s="47">
        <f>E39*1.25</f>
        <v>171.85185185185188</v>
      </c>
      <c r="F41" s="46">
        <v>0.1</v>
      </c>
      <c r="G41" s="47">
        <f t="shared" si="48"/>
        <v>189.03703703703707</v>
      </c>
      <c r="H41" s="60" t="s">
        <v>46</v>
      </c>
      <c r="I41" s="48">
        <v>1.1000000000000001</v>
      </c>
      <c r="J41" s="49">
        <f t="shared" si="49"/>
        <v>207.94074074074078</v>
      </c>
      <c r="K41" s="50">
        <v>50</v>
      </c>
      <c r="L41" s="51">
        <f t="shared" si="50"/>
        <v>55.000000000000007</v>
      </c>
      <c r="M41" s="51">
        <f t="shared" si="51"/>
        <v>10397.037037037038</v>
      </c>
      <c r="N41" s="51">
        <v>0</v>
      </c>
      <c r="O41" s="51">
        <f t="shared" si="52"/>
        <v>0</v>
      </c>
      <c r="P41" s="51">
        <f t="shared" si="53"/>
        <v>55.000000000000007</v>
      </c>
      <c r="Q41" s="101">
        <f t="shared" si="54"/>
        <v>10397.03703703704</v>
      </c>
      <c r="R41" s="41"/>
      <c r="S41" s="41"/>
    </row>
    <row r="42" spans="1:19">
      <c r="A42" s="63">
        <f>IF(F42&lt;&gt;"",1+MAX($A$2:A41),"")</f>
        <v>27</v>
      </c>
      <c r="B42" s="80"/>
      <c r="C42" s="81"/>
      <c r="D42" s="82" t="s">
        <v>48</v>
      </c>
      <c r="E42" s="47">
        <f>29*(8+8)*2*2</f>
        <v>1856</v>
      </c>
      <c r="F42" s="46">
        <v>0.1</v>
      </c>
      <c r="G42" s="47">
        <f t="shared" si="48"/>
        <v>2041.6</v>
      </c>
      <c r="H42" s="60" t="s">
        <v>49</v>
      </c>
      <c r="I42" s="48">
        <v>0.09</v>
      </c>
      <c r="J42" s="49">
        <f t="shared" si="49"/>
        <v>183.74399999999997</v>
      </c>
      <c r="K42" s="50">
        <v>50</v>
      </c>
      <c r="L42" s="51">
        <f t="shared" si="50"/>
        <v>4.5</v>
      </c>
      <c r="M42" s="51">
        <f t="shared" si="51"/>
        <v>9187.1999999999989</v>
      </c>
      <c r="N42" s="51">
        <v>0</v>
      </c>
      <c r="O42" s="51">
        <f t="shared" si="52"/>
        <v>0</v>
      </c>
      <c r="P42" s="51">
        <f t="shared" si="53"/>
        <v>4.5</v>
      </c>
      <c r="Q42" s="101">
        <f t="shared" si="54"/>
        <v>9187.1999999999989</v>
      </c>
      <c r="R42" s="41"/>
      <c r="S42" s="41"/>
    </row>
    <row r="43" spans="1:19">
      <c r="A43" s="63" t="str">
        <f>IF(F43&lt;&gt;"",1+MAX($A$2:A42),"")</f>
        <v/>
      </c>
      <c r="B43" s="80"/>
      <c r="C43" s="81"/>
      <c r="D43" s="82"/>
      <c r="E43" s="47"/>
      <c r="F43" s="46"/>
      <c r="G43" s="47"/>
      <c r="H43" s="60"/>
      <c r="I43" s="48"/>
      <c r="J43" s="49"/>
      <c r="K43" s="50"/>
      <c r="L43" s="51"/>
      <c r="M43" s="51"/>
      <c r="N43" s="51"/>
      <c r="O43" s="51"/>
      <c r="P43" s="51"/>
      <c r="Q43" s="101"/>
      <c r="R43" s="41"/>
      <c r="S43" s="41"/>
    </row>
    <row r="44" spans="1:19">
      <c r="A44" s="63">
        <f>IF(F44&lt;&gt;"",1+MAX($A$2:A43),"")</f>
        <v>28</v>
      </c>
      <c r="B44" s="80"/>
      <c r="C44" s="81"/>
      <c r="D44" s="209" t="s">
        <v>143</v>
      </c>
      <c r="E44" s="47">
        <f>47*9*9*2/27</f>
        <v>282</v>
      </c>
      <c r="F44" s="46">
        <v>0.1</v>
      </c>
      <c r="G44" s="47">
        <f t="shared" ref="G44:G47" si="55">(F44*E44)+E44</f>
        <v>310.2</v>
      </c>
      <c r="H44" s="60" t="s">
        <v>46</v>
      </c>
      <c r="I44" s="48">
        <v>3</v>
      </c>
      <c r="J44" s="49">
        <f t="shared" ref="J44:J47" si="56">+I44*G44</f>
        <v>930.59999999999991</v>
      </c>
      <c r="K44" s="50">
        <v>50</v>
      </c>
      <c r="L44" s="51">
        <f t="shared" ref="L44:L47" si="57">I44*K44</f>
        <v>150</v>
      </c>
      <c r="M44" s="51">
        <f t="shared" ref="M44:M47" si="58">K44*J44</f>
        <v>46529.999999999993</v>
      </c>
      <c r="N44" s="51">
        <v>230</v>
      </c>
      <c r="O44" s="51">
        <f t="shared" ref="O44:O47" si="59">N44*G44</f>
        <v>71346</v>
      </c>
      <c r="P44" s="51">
        <f t="shared" ref="P44:P47" si="60">(I44*K44)+N44</f>
        <v>380</v>
      </c>
      <c r="Q44" s="101">
        <f t="shared" ref="Q44:Q47" si="61">P44*G44</f>
        <v>117876</v>
      </c>
      <c r="R44" s="41"/>
      <c r="S44" s="41"/>
    </row>
    <row r="45" spans="1:19">
      <c r="A45" s="63">
        <f>IF(F45&lt;&gt;"",1+MAX($A$2:A44),"")</f>
        <v>29</v>
      </c>
      <c r="B45" s="80"/>
      <c r="C45" s="81"/>
      <c r="D45" s="82" t="s">
        <v>144</v>
      </c>
      <c r="E45" s="47">
        <f>47*(8.5+8.5)*9*2.044*2</f>
        <v>29396.808000000001</v>
      </c>
      <c r="F45" s="46">
        <v>0.1</v>
      </c>
      <c r="G45" s="47">
        <f t="shared" si="55"/>
        <v>32336.488799999999</v>
      </c>
      <c r="H45" s="60" t="s">
        <v>47</v>
      </c>
      <c r="I45" s="48">
        <v>1.4999999999999999E-2</v>
      </c>
      <c r="J45" s="49">
        <f t="shared" si="56"/>
        <v>485.04733199999998</v>
      </c>
      <c r="K45" s="50">
        <v>50</v>
      </c>
      <c r="L45" s="51">
        <f t="shared" si="57"/>
        <v>0.75</v>
      </c>
      <c r="M45" s="51">
        <f t="shared" si="58"/>
        <v>24252.366599999998</v>
      </c>
      <c r="N45" s="51">
        <v>1.1000000000000001</v>
      </c>
      <c r="O45" s="51">
        <f t="shared" si="59"/>
        <v>35570.13768</v>
      </c>
      <c r="P45" s="51">
        <f t="shared" si="60"/>
        <v>1.85</v>
      </c>
      <c r="Q45" s="101">
        <f t="shared" si="61"/>
        <v>59822.504280000001</v>
      </c>
      <c r="R45" s="41"/>
      <c r="S45" s="41"/>
    </row>
    <row r="46" spans="1:19">
      <c r="A46" s="63">
        <f>IF(F46&lt;&gt;"",1+MAX($A$2:A45),"")</f>
        <v>30</v>
      </c>
      <c r="B46" s="80"/>
      <c r="C46" s="81"/>
      <c r="D46" s="82" t="s">
        <v>50</v>
      </c>
      <c r="E46" s="47">
        <f>E44*1.25</f>
        <v>352.5</v>
      </c>
      <c r="F46" s="46">
        <v>0.1</v>
      </c>
      <c r="G46" s="47">
        <f t="shared" si="55"/>
        <v>387.75</v>
      </c>
      <c r="H46" s="60" t="s">
        <v>46</v>
      </c>
      <c r="I46" s="48">
        <v>1.1000000000000001</v>
      </c>
      <c r="J46" s="49">
        <f t="shared" si="56"/>
        <v>426.52500000000003</v>
      </c>
      <c r="K46" s="50">
        <v>50</v>
      </c>
      <c r="L46" s="51">
        <f t="shared" si="57"/>
        <v>55.000000000000007</v>
      </c>
      <c r="M46" s="51">
        <f t="shared" si="58"/>
        <v>21326.25</v>
      </c>
      <c r="N46" s="51">
        <v>0</v>
      </c>
      <c r="O46" s="51">
        <f t="shared" si="59"/>
        <v>0</v>
      </c>
      <c r="P46" s="51">
        <f t="shared" si="60"/>
        <v>55.000000000000007</v>
      </c>
      <c r="Q46" s="101">
        <f t="shared" si="61"/>
        <v>21326.250000000004</v>
      </c>
      <c r="R46" s="41"/>
      <c r="S46" s="41"/>
    </row>
    <row r="47" spans="1:19">
      <c r="A47" s="63">
        <f>IF(F47&lt;&gt;"",1+MAX($A$2:A46),"")</f>
        <v>31</v>
      </c>
      <c r="B47" s="80"/>
      <c r="C47" s="81"/>
      <c r="D47" s="82" t="s">
        <v>48</v>
      </c>
      <c r="E47" s="47">
        <f>47*(9+9)*2*2</f>
        <v>3384</v>
      </c>
      <c r="F47" s="46">
        <v>0.1</v>
      </c>
      <c r="G47" s="47">
        <f t="shared" si="55"/>
        <v>3722.4</v>
      </c>
      <c r="H47" s="60" t="s">
        <v>49</v>
      </c>
      <c r="I47" s="48">
        <v>0.09</v>
      </c>
      <c r="J47" s="49">
        <f t="shared" si="56"/>
        <v>335.01600000000002</v>
      </c>
      <c r="K47" s="50">
        <v>50</v>
      </c>
      <c r="L47" s="51">
        <f t="shared" si="57"/>
        <v>4.5</v>
      </c>
      <c r="M47" s="51">
        <f t="shared" si="58"/>
        <v>16750.8</v>
      </c>
      <c r="N47" s="51">
        <v>0</v>
      </c>
      <c r="O47" s="51">
        <f t="shared" si="59"/>
        <v>0</v>
      </c>
      <c r="P47" s="51">
        <f t="shared" si="60"/>
        <v>4.5</v>
      </c>
      <c r="Q47" s="101">
        <f t="shared" si="61"/>
        <v>16750.8</v>
      </c>
      <c r="R47" s="41"/>
      <c r="S47" s="41"/>
    </row>
    <row r="48" spans="1:19">
      <c r="A48" s="63" t="str">
        <f>IF(F48&lt;&gt;"",1+MAX($A$2:A47),"")</f>
        <v/>
      </c>
      <c r="B48" s="80"/>
      <c r="C48" s="81"/>
      <c r="D48" s="82"/>
      <c r="E48" s="47"/>
      <c r="F48" s="46"/>
      <c r="G48" s="47"/>
      <c r="H48" s="60"/>
      <c r="I48" s="48"/>
      <c r="J48" s="49"/>
      <c r="K48" s="50"/>
      <c r="L48" s="51"/>
      <c r="M48" s="51"/>
      <c r="N48" s="51"/>
      <c r="O48" s="51"/>
      <c r="P48" s="51"/>
      <c r="Q48" s="101"/>
      <c r="R48" s="41"/>
      <c r="S48" s="41"/>
    </row>
    <row r="49" spans="1:19">
      <c r="A49" s="63">
        <f>IF(F49&lt;&gt;"",1+MAX($A$2:A48),"")</f>
        <v>32</v>
      </c>
      <c r="B49" s="80"/>
      <c r="C49" s="81"/>
      <c r="D49" s="209" t="s">
        <v>145</v>
      </c>
      <c r="E49" s="47">
        <f>1*3*3*1.583/27</f>
        <v>0.52766666666666662</v>
      </c>
      <c r="F49" s="46">
        <v>0.1</v>
      </c>
      <c r="G49" s="47">
        <f t="shared" ref="G49:G52" si="62">(F49*E49)+E49</f>
        <v>0.58043333333333325</v>
      </c>
      <c r="H49" s="60" t="s">
        <v>46</v>
      </c>
      <c r="I49" s="48">
        <v>3</v>
      </c>
      <c r="J49" s="49">
        <f t="shared" ref="J49:J52" si="63">+I49*G49</f>
        <v>1.7412999999999998</v>
      </c>
      <c r="K49" s="50">
        <v>50</v>
      </c>
      <c r="L49" s="51">
        <f t="shared" ref="L49:L52" si="64">I49*K49</f>
        <v>150</v>
      </c>
      <c r="M49" s="51">
        <f t="shared" ref="M49:M52" si="65">K49*J49</f>
        <v>87.064999999999998</v>
      </c>
      <c r="N49" s="51">
        <v>230</v>
      </c>
      <c r="O49" s="51">
        <f t="shared" ref="O49:O52" si="66">N49*G49</f>
        <v>133.49966666666666</v>
      </c>
      <c r="P49" s="51">
        <f t="shared" ref="P49:P52" si="67">(I49*K49)+N49</f>
        <v>380</v>
      </c>
      <c r="Q49" s="101">
        <f t="shared" ref="Q49:Q52" si="68">P49*G49</f>
        <v>220.56466666666662</v>
      </c>
      <c r="R49" s="41"/>
      <c r="S49" s="41"/>
    </row>
    <row r="50" spans="1:19">
      <c r="A50" s="63">
        <f>IF(F50&lt;&gt;"",1+MAX($A$2:A49),"")</f>
        <v>33</v>
      </c>
      <c r="B50" s="80"/>
      <c r="C50" s="81"/>
      <c r="D50" s="82" t="s">
        <v>146</v>
      </c>
      <c r="E50" s="47">
        <f>1*(2.5+2.5)*4*0.668*2</f>
        <v>26.720000000000002</v>
      </c>
      <c r="F50" s="46">
        <v>0.1</v>
      </c>
      <c r="G50" s="47">
        <f t="shared" si="62"/>
        <v>29.392000000000003</v>
      </c>
      <c r="H50" s="60" t="s">
        <v>47</v>
      </c>
      <c r="I50" s="48">
        <v>1.4999999999999999E-2</v>
      </c>
      <c r="J50" s="49">
        <f t="shared" si="63"/>
        <v>0.44088000000000005</v>
      </c>
      <c r="K50" s="50">
        <v>50</v>
      </c>
      <c r="L50" s="51">
        <f t="shared" si="64"/>
        <v>0.75</v>
      </c>
      <c r="M50" s="51">
        <f t="shared" si="65"/>
        <v>22.044000000000004</v>
      </c>
      <c r="N50" s="51">
        <v>1.1000000000000001</v>
      </c>
      <c r="O50" s="51">
        <f t="shared" si="66"/>
        <v>32.331200000000003</v>
      </c>
      <c r="P50" s="51">
        <f t="shared" si="67"/>
        <v>1.85</v>
      </c>
      <c r="Q50" s="101">
        <f t="shared" si="68"/>
        <v>54.375200000000007</v>
      </c>
      <c r="R50" s="41"/>
      <c r="S50" s="41"/>
    </row>
    <row r="51" spans="1:19">
      <c r="A51" s="63">
        <f>IF(F51&lt;&gt;"",1+MAX($A$2:A50),"")</f>
        <v>34</v>
      </c>
      <c r="B51" s="80"/>
      <c r="C51" s="81"/>
      <c r="D51" s="82" t="s">
        <v>50</v>
      </c>
      <c r="E51" s="47">
        <f>E49*1.25</f>
        <v>0.6595833333333333</v>
      </c>
      <c r="F51" s="46">
        <v>0.1</v>
      </c>
      <c r="G51" s="47">
        <f t="shared" si="62"/>
        <v>0.72554166666666664</v>
      </c>
      <c r="H51" s="60" t="s">
        <v>46</v>
      </c>
      <c r="I51" s="48">
        <v>1.1000000000000001</v>
      </c>
      <c r="J51" s="49">
        <f t="shared" si="63"/>
        <v>0.79809583333333334</v>
      </c>
      <c r="K51" s="50">
        <v>50</v>
      </c>
      <c r="L51" s="51">
        <f t="shared" si="64"/>
        <v>55.000000000000007</v>
      </c>
      <c r="M51" s="51">
        <f t="shared" si="65"/>
        <v>39.904791666666668</v>
      </c>
      <c r="N51" s="51">
        <v>0</v>
      </c>
      <c r="O51" s="51">
        <f t="shared" si="66"/>
        <v>0</v>
      </c>
      <c r="P51" s="51">
        <f t="shared" si="67"/>
        <v>55.000000000000007</v>
      </c>
      <c r="Q51" s="101">
        <f t="shared" si="68"/>
        <v>39.904791666666668</v>
      </c>
      <c r="R51" s="41"/>
      <c r="S51" s="41"/>
    </row>
    <row r="52" spans="1:19">
      <c r="A52" s="63">
        <f>IF(F52&lt;&gt;"",1+MAX($A$2:A51),"")</f>
        <v>35</v>
      </c>
      <c r="B52" s="80"/>
      <c r="C52" s="81"/>
      <c r="D52" s="82" t="s">
        <v>48</v>
      </c>
      <c r="E52" s="47">
        <f>1*(3+3)*1.583*2</f>
        <v>18.995999999999999</v>
      </c>
      <c r="F52" s="46">
        <v>0.1</v>
      </c>
      <c r="G52" s="47">
        <f t="shared" si="62"/>
        <v>20.895599999999998</v>
      </c>
      <c r="H52" s="60" t="s">
        <v>49</v>
      </c>
      <c r="I52" s="48">
        <v>0.09</v>
      </c>
      <c r="J52" s="49">
        <f t="shared" si="63"/>
        <v>1.8806039999999997</v>
      </c>
      <c r="K52" s="50">
        <v>50</v>
      </c>
      <c r="L52" s="51">
        <f t="shared" si="64"/>
        <v>4.5</v>
      </c>
      <c r="M52" s="51">
        <f t="shared" si="65"/>
        <v>94.030199999999979</v>
      </c>
      <c r="N52" s="51">
        <v>0</v>
      </c>
      <c r="O52" s="51">
        <f t="shared" si="66"/>
        <v>0</v>
      </c>
      <c r="P52" s="51">
        <f t="shared" si="67"/>
        <v>4.5</v>
      </c>
      <c r="Q52" s="101">
        <f t="shared" si="68"/>
        <v>94.030199999999994</v>
      </c>
      <c r="R52" s="41"/>
      <c r="S52" s="41"/>
    </row>
    <row r="53" spans="1:19">
      <c r="A53" s="63" t="str">
        <f>IF(F53&lt;&gt;"",1+MAX($A$2:A52),"")</f>
        <v/>
      </c>
      <c r="B53" s="80"/>
      <c r="C53" s="81"/>
      <c r="D53" s="82"/>
      <c r="E53" s="47"/>
      <c r="F53" s="46"/>
      <c r="G53" s="47"/>
      <c r="H53" s="60"/>
      <c r="I53" s="48"/>
      <c r="J53" s="49"/>
      <c r="K53" s="50"/>
      <c r="L53" s="51"/>
      <c r="M53" s="51"/>
      <c r="N53" s="51"/>
      <c r="O53" s="51"/>
      <c r="P53" s="51"/>
      <c r="Q53" s="101"/>
      <c r="R53" s="41"/>
      <c r="S53" s="41"/>
    </row>
    <row r="54" spans="1:19">
      <c r="A54" s="63">
        <f>IF(F54&lt;&gt;"",1+MAX($A$2:A53),"")</f>
        <v>36</v>
      </c>
      <c r="B54" s="80"/>
      <c r="C54" s="81"/>
      <c r="D54" s="209" t="s">
        <v>147</v>
      </c>
      <c r="E54" s="47">
        <f>5*4*6*1.5/27</f>
        <v>6.666666666666667</v>
      </c>
      <c r="F54" s="46">
        <v>0.1</v>
      </c>
      <c r="G54" s="47">
        <f t="shared" ref="G54" si="69">(F54*E54)+E54</f>
        <v>7.3333333333333339</v>
      </c>
      <c r="H54" s="60" t="s">
        <v>46</v>
      </c>
      <c r="I54" s="48">
        <v>3</v>
      </c>
      <c r="J54" s="49">
        <f t="shared" ref="J54:J55" si="70">+I54*G54</f>
        <v>22</v>
      </c>
      <c r="K54" s="50">
        <v>50</v>
      </c>
      <c r="L54" s="51">
        <f t="shared" ref="L54:L55" si="71">I54*K54</f>
        <v>150</v>
      </c>
      <c r="M54" s="51">
        <f t="shared" ref="M54:M55" si="72">K54*J54</f>
        <v>1100</v>
      </c>
      <c r="N54" s="51">
        <v>230</v>
      </c>
      <c r="O54" s="51">
        <f t="shared" ref="O54" si="73">N54*G54</f>
        <v>1686.6666666666667</v>
      </c>
      <c r="P54" s="51">
        <f t="shared" ref="P54" si="74">(I54*K54)+N54</f>
        <v>380</v>
      </c>
      <c r="Q54" s="101">
        <f t="shared" ref="Q54" si="75">P54*G54</f>
        <v>2786.666666666667</v>
      </c>
      <c r="R54" s="41"/>
      <c r="S54" s="41"/>
    </row>
    <row r="55" spans="1:19">
      <c r="A55" s="63">
        <f>IF(F55&lt;&gt;"",1+MAX($A$2:A54),"")</f>
        <v>37</v>
      </c>
      <c r="B55" s="80"/>
      <c r="C55" s="81"/>
      <c r="D55" s="82" t="s">
        <v>148</v>
      </c>
      <c r="E55" s="47">
        <f>5*(3.5+5.5)*6*1.043</f>
        <v>281.60999999999996</v>
      </c>
      <c r="F55" s="46">
        <v>0.1</v>
      </c>
      <c r="G55" s="47">
        <f t="shared" ref="G55:G58" si="76">(F55*E55)+E55</f>
        <v>309.77099999999996</v>
      </c>
      <c r="H55" s="60" t="s">
        <v>47</v>
      </c>
      <c r="I55" s="48">
        <v>1.4999999999999999E-2</v>
      </c>
      <c r="J55" s="49">
        <f t="shared" si="70"/>
        <v>4.6465649999999989</v>
      </c>
      <c r="K55" s="50">
        <v>50</v>
      </c>
      <c r="L55" s="51">
        <f t="shared" si="71"/>
        <v>0.75</v>
      </c>
      <c r="M55" s="51">
        <f t="shared" si="72"/>
        <v>232.32824999999994</v>
      </c>
      <c r="N55" s="51">
        <v>1.1000000000000001</v>
      </c>
      <c r="O55" s="51">
        <f t="shared" ref="O55:O58" si="77">N55*G55</f>
        <v>340.74809999999997</v>
      </c>
      <c r="P55" s="51">
        <f t="shared" ref="P55:P58" si="78">(I55*K55)+N55</f>
        <v>1.85</v>
      </c>
      <c r="Q55" s="101">
        <f t="shared" ref="Q55:Q58" si="79">P55*G55</f>
        <v>573.07634999999993</v>
      </c>
      <c r="R55" s="41"/>
      <c r="S55" s="41"/>
    </row>
    <row r="56" spans="1:19">
      <c r="A56" s="63">
        <f>IF(F56&lt;&gt;"",1+MAX($A$2:A55),"")</f>
        <v>38</v>
      </c>
      <c r="B56" s="80"/>
      <c r="C56" s="81"/>
      <c r="D56" s="82" t="s">
        <v>149</v>
      </c>
      <c r="E56" s="47">
        <f>5*(3.5+5.5)/0.833*0.376</f>
        <v>20.312124849939977</v>
      </c>
      <c r="F56" s="46">
        <v>0.1</v>
      </c>
      <c r="G56" s="47">
        <f t="shared" si="76"/>
        <v>22.343337334933974</v>
      </c>
      <c r="H56" s="60" t="s">
        <v>47</v>
      </c>
      <c r="I56" s="48">
        <v>1.4999999999999999E-2</v>
      </c>
      <c r="J56" s="49">
        <f t="shared" ref="J56:J58" si="80">+I56*G56</f>
        <v>0.3351500600240096</v>
      </c>
      <c r="K56" s="50">
        <v>50</v>
      </c>
      <c r="L56" s="51">
        <f t="shared" ref="L56:L58" si="81">I56*K56</f>
        <v>0.75</v>
      </c>
      <c r="M56" s="51">
        <f t="shared" ref="M56:M58" si="82">K56*J56</f>
        <v>16.75750300120048</v>
      </c>
      <c r="N56" s="51">
        <v>1.1000000000000001</v>
      </c>
      <c r="O56" s="51">
        <f t="shared" si="77"/>
        <v>24.577671068427374</v>
      </c>
      <c r="P56" s="51">
        <f t="shared" si="78"/>
        <v>1.85</v>
      </c>
      <c r="Q56" s="101">
        <f t="shared" si="79"/>
        <v>41.335174069627854</v>
      </c>
      <c r="R56" s="41"/>
      <c r="S56" s="41"/>
    </row>
    <row r="57" spans="1:19">
      <c r="A57" s="63">
        <f>IF(F57&lt;&gt;"",1+MAX($A$2:A56),"")</f>
        <v>39</v>
      </c>
      <c r="B57" s="80"/>
      <c r="C57" s="81"/>
      <c r="D57" s="82" t="s">
        <v>50</v>
      </c>
      <c r="E57" s="47">
        <f>E54*1.25</f>
        <v>8.3333333333333339</v>
      </c>
      <c r="F57" s="46">
        <v>0.1</v>
      </c>
      <c r="G57" s="47">
        <f t="shared" si="76"/>
        <v>9.1666666666666679</v>
      </c>
      <c r="H57" s="60" t="s">
        <v>46</v>
      </c>
      <c r="I57" s="48">
        <v>1.1000000000000001</v>
      </c>
      <c r="J57" s="49">
        <f t="shared" si="80"/>
        <v>10.083333333333336</v>
      </c>
      <c r="K57" s="50">
        <v>50</v>
      </c>
      <c r="L57" s="51">
        <f t="shared" si="81"/>
        <v>55.000000000000007</v>
      </c>
      <c r="M57" s="51">
        <f t="shared" si="82"/>
        <v>504.1666666666668</v>
      </c>
      <c r="N57" s="51">
        <v>0</v>
      </c>
      <c r="O57" s="51">
        <f t="shared" si="77"/>
        <v>0</v>
      </c>
      <c r="P57" s="51">
        <f t="shared" si="78"/>
        <v>55.000000000000007</v>
      </c>
      <c r="Q57" s="101">
        <f t="shared" si="79"/>
        <v>504.1666666666668</v>
      </c>
      <c r="R57" s="41"/>
      <c r="S57" s="41"/>
    </row>
    <row r="58" spans="1:19">
      <c r="A58" s="63">
        <f>IF(F58&lt;&gt;"",1+MAX($A$2:A57),"")</f>
        <v>40</v>
      </c>
      <c r="B58" s="80"/>
      <c r="C58" s="81"/>
      <c r="D58" s="82" t="s">
        <v>48</v>
      </c>
      <c r="E58" s="47">
        <f>5*(4+6)*1.5*2</f>
        <v>150</v>
      </c>
      <c r="F58" s="46">
        <v>0.1</v>
      </c>
      <c r="G58" s="47">
        <f t="shared" si="76"/>
        <v>165</v>
      </c>
      <c r="H58" s="60" t="s">
        <v>49</v>
      </c>
      <c r="I58" s="48">
        <v>0.09</v>
      </c>
      <c r="J58" s="49">
        <f t="shared" si="80"/>
        <v>14.85</v>
      </c>
      <c r="K58" s="50">
        <v>50</v>
      </c>
      <c r="L58" s="51">
        <f t="shared" si="81"/>
        <v>4.5</v>
      </c>
      <c r="M58" s="51">
        <f t="shared" si="82"/>
        <v>742.5</v>
      </c>
      <c r="N58" s="51">
        <v>0</v>
      </c>
      <c r="O58" s="51">
        <f t="shared" si="77"/>
        <v>0</v>
      </c>
      <c r="P58" s="51">
        <f t="shared" si="78"/>
        <v>4.5</v>
      </c>
      <c r="Q58" s="101">
        <f t="shared" si="79"/>
        <v>742.5</v>
      </c>
      <c r="R58" s="41"/>
      <c r="S58" s="41"/>
    </row>
    <row r="59" spans="1:19">
      <c r="A59" s="63" t="str">
        <f>IF(F59&lt;&gt;"",1+MAX($A$2:A58),"")</f>
        <v/>
      </c>
      <c r="B59" s="80"/>
      <c r="C59" s="81"/>
      <c r="D59" s="82"/>
      <c r="E59" s="47"/>
      <c r="F59" s="46"/>
      <c r="G59" s="47"/>
      <c r="H59" s="60"/>
      <c r="I59" s="48"/>
      <c r="J59" s="49"/>
      <c r="K59" s="50"/>
      <c r="L59" s="51"/>
      <c r="M59" s="51"/>
      <c r="N59" s="51"/>
      <c r="O59" s="51"/>
      <c r="P59" s="51"/>
      <c r="Q59" s="101"/>
      <c r="R59" s="41"/>
      <c r="S59" s="41"/>
    </row>
    <row r="60" spans="1:19" ht="18" customHeight="1">
      <c r="A60" s="63" t="str">
        <f>IF(F60&lt;&gt;"",1+MAX($A$2:A59),"")</f>
        <v/>
      </c>
      <c r="B60" s="55"/>
      <c r="C60" s="67"/>
      <c r="D60" s="111" t="s">
        <v>150</v>
      </c>
      <c r="E60" s="76"/>
      <c r="F60" s="77"/>
      <c r="G60" s="47"/>
      <c r="H60" s="47"/>
      <c r="I60" s="78"/>
      <c r="J60" s="47"/>
      <c r="K60" s="61"/>
      <c r="L60" s="61"/>
      <c r="M60" s="61"/>
      <c r="N60" s="61"/>
      <c r="O60" s="61"/>
      <c r="P60" s="61"/>
      <c r="Q60" s="79"/>
      <c r="R60" s="41"/>
      <c r="S60" s="41"/>
    </row>
    <row r="61" spans="1:19">
      <c r="A61" s="63">
        <f>IF(F61&lt;&gt;"",1+MAX($A$2:A60),"")</f>
        <v>41</v>
      </c>
      <c r="B61" s="80"/>
      <c r="C61" s="81"/>
      <c r="D61" s="209" t="s">
        <v>151</v>
      </c>
      <c r="E61" s="47">
        <f>29*2*2*1.667/27</f>
        <v>7.1619259259259263</v>
      </c>
      <c r="F61" s="46">
        <v>0.1</v>
      </c>
      <c r="G61" s="47">
        <f t="shared" ref="G61:G65" si="83">(F61*E61)+E61</f>
        <v>7.8781185185185194</v>
      </c>
      <c r="H61" s="60" t="s">
        <v>46</v>
      </c>
      <c r="I61" s="48">
        <v>3</v>
      </c>
      <c r="J61" s="49">
        <f t="shared" ref="J61:J65" si="84">+I61*G61</f>
        <v>23.634355555555558</v>
      </c>
      <c r="K61" s="50">
        <v>50</v>
      </c>
      <c r="L61" s="51">
        <f t="shared" ref="L61:L65" si="85">I61*K61</f>
        <v>150</v>
      </c>
      <c r="M61" s="51">
        <f t="shared" ref="M61:M65" si="86">K61*J61</f>
        <v>1181.7177777777779</v>
      </c>
      <c r="N61" s="51">
        <v>230</v>
      </c>
      <c r="O61" s="51">
        <f t="shared" ref="O61:O65" si="87">N61*G61</f>
        <v>1811.9672592592594</v>
      </c>
      <c r="P61" s="51">
        <f t="shared" ref="P61:P65" si="88">(I61*K61)+N61</f>
        <v>380</v>
      </c>
      <c r="Q61" s="101">
        <f t="shared" ref="Q61:Q65" si="89">P61*G61</f>
        <v>2993.6850370370375</v>
      </c>
      <c r="R61" s="41"/>
      <c r="S61" s="41"/>
    </row>
    <row r="62" spans="1:19">
      <c r="A62" s="63">
        <f>IF(F62&lt;&gt;"",1+MAX($A$2:A61),"")</f>
        <v>42</v>
      </c>
      <c r="B62" s="80"/>
      <c r="C62" s="81"/>
      <c r="D62" s="82" t="s">
        <v>152</v>
      </c>
      <c r="E62" s="47">
        <f>29*1.667*10*1.043</f>
        <v>504.21749000000005</v>
      </c>
      <c r="F62" s="46">
        <v>0.1</v>
      </c>
      <c r="G62" s="47">
        <f t="shared" si="83"/>
        <v>554.63923900000009</v>
      </c>
      <c r="H62" s="60" t="s">
        <v>47</v>
      </c>
      <c r="I62" s="48">
        <v>1.4999999999999999E-2</v>
      </c>
      <c r="J62" s="49">
        <f t="shared" si="84"/>
        <v>8.3195885850000018</v>
      </c>
      <c r="K62" s="50">
        <v>50</v>
      </c>
      <c r="L62" s="51">
        <f t="shared" si="85"/>
        <v>0.75</v>
      </c>
      <c r="M62" s="51">
        <f t="shared" si="86"/>
        <v>415.97942925000007</v>
      </c>
      <c r="N62" s="51">
        <v>1.1000000000000001</v>
      </c>
      <c r="O62" s="51">
        <f t="shared" si="87"/>
        <v>610.10316290000014</v>
      </c>
      <c r="P62" s="51">
        <f t="shared" si="88"/>
        <v>1.85</v>
      </c>
      <c r="Q62" s="101">
        <f t="shared" si="89"/>
        <v>1026.0825921500002</v>
      </c>
      <c r="R62" s="41"/>
      <c r="S62" s="41"/>
    </row>
    <row r="63" spans="1:19">
      <c r="A63" s="63">
        <f>IF(F63&lt;&gt;"",1+MAX($A$2:A62),"")</f>
        <v>43</v>
      </c>
      <c r="B63" s="80"/>
      <c r="C63" s="81"/>
      <c r="D63" s="82" t="s">
        <v>153</v>
      </c>
      <c r="E63" s="47">
        <f>29*(1.5+1.5)/0.833*0.376</f>
        <v>39.270108043217292</v>
      </c>
      <c r="F63" s="46">
        <v>0.1</v>
      </c>
      <c r="G63" s="47">
        <f t="shared" si="83"/>
        <v>43.197118847539024</v>
      </c>
      <c r="H63" s="60" t="s">
        <v>47</v>
      </c>
      <c r="I63" s="48">
        <v>1.4999999999999999E-2</v>
      </c>
      <c r="J63" s="49">
        <f t="shared" si="84"/>
        <v>0.64795678271308532</v>
      </c>
      <c r="K63" s="50">
        <v>50</v>
      </c>
      <c r="L63" s="51">
        <f t="shared" si="85"/>
        <v>0.75</v>
      </c>
      <c r="M63" s="51">
        <f t="shared" si="86"/>
        <v>32.397839135654266</v>
      </c>
      <c r="N63" s="51">
        <v>1.1000000000000001</v>
      </c>
      <c r="O63" s="51">
        <f t="shared" si="87"/>
        <v>47.516830732292931</v>
      </c>
      <c r="P63" s="51">
        <f t="shared" si="88"/>
        <v>1.85</v>
      </c>
      <c r="Q63" s="101">
        <f t="shared" si="89"/>
        <v>79.914669867947197</v>
      </c>
      <c r="R63" s="41"/>
      <c r="S63" s="41"/>
    </row>
    <row r="64" spans="1:19">
      <c r="A64" s="63">
        <f>IF(F64&lt;&gt;"",1+MAX($A$2:A63),"")</f>
        <v>44</v>
      </c>
      <c r="B64" s="80"/>
      <c r="C64" s="81"/>
      <c r="D64" s="82" t="s">
        <v>50</v>
      </c>
      <c r="E64" s="47">
        <f>E61*1.25</f>
        <v>8.9524074074074083</v>
      </c>
      <c r="F64" s="46">
        <v>0.1</v>
      </c>
      <c r="G64" s="47">
        <f t="shared" si="83"/>
        <v>9.8476481481481493</v>
      </c>
      <c r="H64" s="60" t="s">
        <v>46</v>
      </c>
      <c r="I64" s="48">
        <v>1.1000000000000001</v>
      </c>
      <c r="J64" s="49">
        <f t="shared" si="84"/>
        <v>10.832412962962964</v>
      </c>
      <c r="K64" s="50">
        <v>50</v>
      </c>
      <c r="L64" s="51">
        <f t="shared" si="85"/>
        <v>55.000000000000007</v>
      </c>
      <c r="M64" s="51">
        <f t="shared" si="86"/>
        <v>541.62064814814823</v>
      </c>
      <c r="N64" s="51">
        <v>0</v>
      </c>
      <c r="O64" s="51">
        <f t="shared" si="87"/>
        <v>0</v>
      </c>
      <c r="P64" s="51">
        <f t="shared" si="88"/>
        <v>55.000000000000007</v>
      </c>
      <c r="Q64" s="101">
        <f t="shared" si="89"/>
        <v>541.62064814814823</v>
      </c>
      <c r="R64" s="41"/>
      <c r="S64" s="41"/>
    </row>
    <row r="65" spans="1:19">
      <c r="A65" s="63">
        <f>IF(F65&lt;&gt;"",1+MAX($A$2:A64),"")</f>
        <v>45</v>
      </c>
      <c r="B65" s="80"/>
      <c r="C65" s="81"/>
      <c r="D65" s="82" t="s">
        <v>48</v>
      </c>
      <c r="E65" s="47">
        <f>29*(2+2)*1.667*2</f>
        <v>386.74400000000003</v>
      </c>
      <c r="F65" s="46">
        <v>0.1</v>
      </c>
      <c r="G65" s="47">
        <f t="shared" si="83"/>
        <v>425.41840000000002</v>
      </c>
      <c r="H65" s="60" t="s">
        <v>49</v>
      </c>
      <c r="I65" s="48">
        <v>0.09</v>
      </c>
      <c r="J65" s="49">
        <f t="shared" si="84"/>
        <v>38.287655999999998</v>
      </c>
      <c r="K65" s="50">
        <v>50</v>
      </c>
      <c r="L65" s="51">
        <f t="shared" si="85"/>
        <v>4.5</v>
      </c>
      <c r="M65" s="51">
        <f t="shared" si="86"/>
        <v>1914.3827999999999</v>
      </c>
      <c r="N65" s="51">
        <v>0</v>
      </c>
      <c r="O65" s="51">
        <f t="shared" si="87"/>
        <v>0</v>
      </c>
      <c r="P65" s="51">
        <f t="shared" si="88"/>
        <v>4.5</v>
      </c>
      <c r="Q65" s="101">
        <f t="shared" si="89"/>
        <v>1914.3828000000001</v>
      </c>
      <c r="R65" s="41"/>
      <c r="S65" s="41"/>
    </row>
    <row r="66" spans="1:19">
      <c r="A66" s="63" t="str">
        <f>IF(F66&lt;&gt;"",1+MAX($A$2:A65),"")</f>
        <v/>
      </c>
      <c r="B66" s="80"/>
      <c r="C66" s="81"/>
      <c r="D66" s="82"/>
      <c r="E66" s="47"/>
      <c r="F66" s="46"/>
      <c r="G66" s="47"/>
      <c r="H66" s="60"/>
      <c r="I66" s="48"/>
      <c r="J66" s="49"/>
      <c r="K66" s="50"/>
      <c r="L66" s="51"/>
      <c r="M66" s="51"/>
      <c r="N66" s="51"/>
      <c r="O66" s="51"/>
      <c r="P66" s="51"/>
      <c r="Q66" s="101"/>
      <c r="R66" s="41"/>
      <c r="S66" s="41"/>
    </row>
    <row r="67" spans="1:19">
      <c r="A67" s="63">
        <f>IF(F67&lt;&gt;"",1+MAX($A$2:A66),"")</f>
        <v>46</v>
      </c>
      <c r="B67" s="80"/>
      <c r="C67" s="81"/>
      <c r="D67" s="209" t="s">
        <v>154</v>
      </c>
      <c r="E67" s="47">
        <f>20*2*2*2.667/27</f>
        <v>7.902222222222222</v>
      </c>
      <c r="F67" s="46">
        <v>0.1</v>
      </c>
      <c r="G67" s="47">
        <f t="shared" ref="G67:G71" si="90">(F67*E67)+E67</f>
        <v>8.692444444444444</v>
      </c>
      <c r="H67" s="60" t="s">
        <v>46</v>
      </c>
      <c r="I67" s="48">
        <v>3</v>
      </c>
      <c r="J67" s="49">
        <f t="shared" ref="J67:J71" si="91">+I67*G67</f>
        <v>26.077333333333332</v>
      </c>
      <c r="K67" s="50">
        <v>50</v>
      </c>
      <c r="L67" s="51">
        <f t="shared" ref="L67:L71" si="92">I67*K67</f>
        <v>150</v>
      </c>
      <c r="M67" s="51">
        <f t="shared" ref="M67:M71" si="93">K67*J67</f>
        <v>1303.8666666666666</v>
      </c>
      <c r="N67" s="51">
        <v>230</v>
      </c>
      <c r="O67" s="51">
        <f t="shared" ref="O67:O71" si="94">N67*G67</f>
        <v>1999.2622222222221</v>
      </c>
      <c r="P67" s="51">
        <f t="shared" ref="P67:P71" si="95">(I67*K67)+N67</f>
        <v>380</v>
      </c>
      <c r="Q67" s="101">
        <f t="shared" ref="Q67:Q71" si="96">P67*G67</f>
        <v>3303.1288888888889</v>
      </c>
      <c r="R67" s="41"/>
      <c r="S67" s="41"/>
    </row>
    <row r="68" spans="1:19">
      <c r="A68" s="63">
        <f>IF(F68&lt;&gt;"",1+MAX($A$2:A67),"")</f>
        <v>47</v>
      </c>
      <c r="B68" s="80"/>
      <c r="C68" s="81"/>
      <c r="D68" s="82" t="s">
        <v>152</v>
      </c>
      <c r="E68" s="47">
        <f>29*1.833*10*1.043</f>
        <v>554.42750999999987</v>
      </c>
      <c r="F68" s="46">
        <v>0.1</v>
      </c>
      <c r="G68" s="47">
        <f t="shared" si="90"/>
        <v>609.8702609999998</v>
      </c>
      <c r="H68" s="60" t="s">
        <v>47</v>
      </c>
      <c r="I68" s="48">
        <v>1.4999999999999999E-2</v>
      </c>
      <c r="J68" s="49">
        <f t="shared" si="91"/>
        <v>9.1480539149999966</v>
      </c>
      <c r="K68" s="50">
        <v>50</v>
      </c>
      <c r="L68" s="51">
        <f t="shared" si="92"/>
        <v>0.75</v>
      </c>
      <c r="M68" s="51">
        <f t="shared" si="93"/>
        <v>457.40269574999985</v>
      </c>
      <c r="N68" s="51">
        <v>1.1000000000000001</v>
      </c>
      <c r="O68" s="51">
        <f t="shared" si="94"/>
        <v>670.85728709999978</v>
      </c>
      <c r="P68" s="51">
        <f t="shared" si="95"/>
        <v>1.85</v>
      </c>
      <c r="Q68" s="101">
        <f t="shared" si="96"/>
        <v>1128.2599828499997</v>
      </c>
      <c r="R68" s="41"/>
      <c r="S68" s="41"/>
    </row>
    <row r="69" spans="1:19">
      <c r="A69" s="63">
        <f>IF(F69&lt;&gt;"",1+MAX($A$2:A68),"")</f>
        <v>48</v>
      </c>
      <c r="B69" s="80"/>
      <c r="C69" s="81"/>
      <c r="D69" s="82" t="s">
        <v>153</v>
      </c>
      <c r="E69" s="47">
        <f>29*(1.5+1.5)/0.833*0.376</f>
        <v>39.270108043217292</v>
      </c>
      <c r="F69" s="46">
        <v>0.1</v>
      </c>
      <c r="G69" s="47">
        <f t="shared" si="90"/>
        <v>43.197118847539024</v>
      </c>
      <c r="H69" s="60" t="s">
        <v>47</v>
      </c>
      <c r="I69" s="48">
        <v>1.4999999999999999E-2</v>
      </c>
      <c r="J69" s="49">
        <f t="shared" si="91"/>
        <v>0.64795678271308532</v>
      </c>
      <c r="K69" s="50">
        <v>50</v>
      </c>
      <c r="L69" s="51">
        <f t="shared" si="92"/>
        <v>0.75</v>
      </c>
      <c r="M69" s="51">
        <f t="shared" si="93"/>
        <v>32.397839135654266</v>
      </c>
      <c r="N69" s="51">
        <v>1.1000000000000001</v>
      </c>
      <c r="O69" s="51">
        <f t="shared" si="94"/>
        <v>47.516830732292931</v>
      </c>
      <c r="P69" s="51">
        <f t="shared" si="95"/>
        <v>1.85</v>
      </c>
      <c r="Q69" s="101">
        <f t="shared" si="96"/>
        <v>79.914669867947197</v>
      </c>
      <c r="R69" s="41"/>
      <c r="S69" s="41"/>
    </row>
    <row r="70" spans="1:19">
      <c r="A70" s="63">
        <f>IF(F70&lt;&gt;"",1+MAX($A$2:A69),"")</f>
        <v>49</v>
      </c>
      <c r="B70" s="80"/>
      <c r="C70" s="81"/>
      <c r="D70" s="82" t="s">
        <v>50</v>
      </c>
      <c r="E70" s="47">
        <f>E67*1.25</f>
        <v>9.8777777777777782</v>
      </c>
      <c r="F70" s="46">
        <v>0.1</v>
      </c>
      <c r="G70" s="47">
        <f t="shared" si="90"/>
        <v>10.865555555555556</v>
      </c>
      <c r="H70" s="60" t="s">
        <v>46</v>
      </c>
      <c r="I70" s="48">
        <v>1.1000000000000001</v>
      </c>
      <c r="J70" s="49">
        <f t="shared" si="91"/>
        <v>11.952111111111112</v>
      </c>
      <c r="K70" s="50">
        <v>50</v>
      </c>
      <c r="L70" s="51">
        <f t="shared" si="92"/>
        <v>55.000000000000007</v>
      </c>
      <c r="M70" s="51">
        <f t="shared" si="93"/>
        <v>597.60555555555561</v>
      </c>
      <c r="N70" s="51">
        <v>0</v>
      </c>
      <c r="O70" s="51">
        <f t="shared" si="94"/>
        <v>0</v>
      </c>
      <c r="P70" s="51">
        <f t="shared" si="95"/>
        <v>55.000000000000007</v>
      </c>
      <c r="Q70" s="101">
        <f t="shared" si="96"/>
        <v>597.60555555555561</v>
      </c>
      <c r="R70" s="41"/>
      <c r="S70" s="41"/>
    </row>
    <row r="71" spans="1:19">
      <c r="A71" s="63">
        <f>IF(F71&lt;&gt;"",1+MAX($A$2:A70),"")</f>
        <v>50</v>
      </c>
      <c r="B71" s="80"/>
      <c r="C71" s="81"/>
      <c r="D71" s="82" t="s">
        <v>48</v>
      </c>
      <c r="E71" s="47">
        <f>20*(2+2)*2.667*2</f>
        <v>426.71999999999997</v>
      </c>
      <c r="F71" s="46">
        <v>0.1</v>
      </c>
      <c r="G71" s="47">
        <f t="shared" si="90"/>
        <v>469.39199999999994</v>
      </c>
      <c r="H71" s="60" t="s">
        <v>49</v>
      </c>
      <c r="I71" s="48">
        <v>0.09</v>
      </c>
      <c r="J71" s="49">
        <f t="shared" si="91"/>
        <v>42.245279999999994</v>
      </c>
      <c r="K71" s="50">
        <v>50</v>
      </c>
      <c r="L71" s="51">
        <f t="shared" si="92"/>
        <v>4.5</v>
      </c>
      <c r="M71" s="51">
        <f t="shared" si="93"/>
        <v>2112.2639999999997</v>
      </c>
      <c r="N71" s="51">
        <v>0</v>
      </c>
      <c r="O71" s="51">
        <f t="shared" si="94"/>
        <v>0</v>
      </c>
      <c r="P71" s="51">
        <f t="shared" si="95"/>
        <v>4.5</v>
      </c>
      <c r="Q71" s="101">
        <f t="shared" si="96"/>
        <v>2112.2639999999997</v>
      </c>
      <c r="R71" s="41"/>
      <c r="S71" s="41"/>
    </row>
    <row r="72" spans="1:19">
      <c r="A72" s="63" t="str">
        <f>IF(F72&lt;&gt;"",1+MAX($A$2:A71),"")</f>
        <v/>
      </c>
      <c r="B72" s="80"/>
      <c r="C72" s="81"/>
      <c r="D72" s="82"/>
      <c r="E72" s="47"/>
      <c r="F72" s="46"/>
      <c r="G72" s="47"/>
      <c r="H72" s="60"/>
      <c r="I72" s="48"/>
      <c r="J72" s="49"/>
      <c r="K72" s="50"/>
      <c r="L72" s="51"/>
      <c r="M72" s="51"/>
      <c r="N72" s="51"/>
      <c r="O72" s="51"/>
      <c r="P72" s="51"/>
      <c r="Q72" s="101"/>
      <c r="R72" s="41"/>
      <c r="S72" s="41"/>
    </row>
    <row r="73" spans="1:19" ht="18" customHeight="1">
      <c r="A73" s="63" t="str">
        <f>IF(F73&lt;&gt;"",1+MAX($A$2:A72),"")</f>
        <v/>
      </c>
      <c r="B73" s="55"/>
      <c r="C73" s="67"/>
      <c r="D73" s="111" t="s">
        <v>155</v>
      </c>
      <c r="E73" s="76"/>
      <c r="F73" s="77"/>
      <c r="G73" s="47"/>
      <c r="H73" s="47"/>
      <c r="I73" s="78"/>
      <c r="J73" s="47"/>
      <c r="K73" s="61"/>
      <c r="L73" s="61"/>
      <c r="M73" s="61"/>
      <c r="N73" s="61"/>
      <c r="O73" s="61"/>
      <c r="P73" s="61"/>
      <c r="Q73" s="79"/>
      <c r="R73" s="41"/>
      <c r="S73" s="41"/>
    </row>
    <row r="74" spans="1:19">
      <c r="A74" s="63">
        <f>IF(F74&lt;&gt;"",1+MAX($A$2:A73),"")</f>
        <v>51</v>
      </c>
      <c r="B74" s="80"/>
      <c r="C74" s="81"/>
      <c r="D74" s="209" t="s">
        <v>156</v>
      </c>
      <c r="E74" s="47">
        <f>90*0.667*1/27</f>
        <v>2.2233333333333332</v>
      </c>
      <c r="F74" s="46">
        <v>0.1</v>
      </c>
      <c r="G74" s="47">
        <f t="shared" ref="G74:G78" si="97">(F74*E74)+E74</f>
        <v>2.4456666666666664</v>
      </c>
      <c r="H74" s="60" t="s">
        <v>46</v>
      </c>
      <c r="I74" s="48">
        <v>3</v>
      </c>
      <c r="J74" s="49">
        <f t="shared" ref="J74:J78" si="98">+I74*G74</f>
        <v>7.3369999999999997</v>
      </c>
      <c r="K74" s="50">
        <v>50</v>
      </c>
      <c r="L74" s="51">
        <f t="shared" ref="L74:L78" si="99">I74*K74</f>
        <v>150</v>
      </c>
      <c r="M74" s="51">
        <f t="shared" ref="M74:M78" si="100">K74*J74</f>
        <v>366.84999999999997</v>
      </c>
      <c r="N74" s="51">
        <v>230</v>
      </c>
      <c r="O74" s="51">
        <f t="shared" ref="O74:O78" si="101">N74*G74</f>
        <v>562.50333333333333</v>
      </c>
      <c r="P74" s="51">
        <f t="shared" ref="P74:P78" si="102">(I74*K74)+N74</f>
        <v>380</v>
      </c>
      <c r="Q74" s="101">
        <f t="shared" ref="Q74:Q78" si="103">P74*G74</f>
        <v>929.35333333333324</v>
      </c>
      <c r="R74" s="41"/>
      <c r="S74" s="41"/>
    </row>
    <row r="75" spans="1:19">
      <c r="A75" s="63">
        <f>IF(F75&lt;&gt;"",1+MAX($A$2:A74),"")</f>
        <v>52</v>
      </c>
      <c r="B75" s="80"/>
      <c r="C75" s="81"/>
      <c r="D75" s="82" t="s">
        <v>157</v>
      </c>
      <c r="E75" s="47">
        <f>90*4*1.043</f>
        <v>375.47999999999996</v>
      </c>
      <c r="F75" s="46">
        <v>0.1</v>
      </c>
      <c r="G75" s="47">
        <f t="shared" si="97"/>
        <v>413.02799999999996</v>
      </c>
      <c r="H75" s="60" t="s">
        <v>47</v>
      </c>
      <c r="I75" s="48">
        <v>1.4999999999999999E-2</v>
      </c>
      <c r="J75" s="49">
        <f t="shared" si="98"/>
        <v>6.1954199999999995</v>
      </c>
      <c r="K75" s="50">
        <v>50</v>
      </c>
      <c r="L75" s="51">
        <f t="shared" si="99"/>
        <v>0.75</v>
      </c>
      <c r="M75" s="51">
        <f t="shared" si="100"/>
        <v>309.77099999999996</v>
      </c>
      <c r="N75" s="51">
        <v>1.1000000000000001</v>
      </c>
      <c r="O75" s="51">
        <f t="shared" si="101"/>
        <v>454.33080000000001</v>
      </c>
      <c r="P75" s="51">
        <f t="shared" si="102"/>
        <v>1.85</v>
      </c>
      <c r="Q75" s="101">
        <f t="shared" si="103"/>
        <v>764.10179999999991</v>
      </c>
      <c r="R75" s="41"/>
      <c r="S75" s="41"/>
    </row>
    <row r="76" spans="1:19">
      <c r="A76" s="63">
        <f>IF(F76&lt;&gt;"",1+MAX($A$2:A75),"")</f>
        <v>53</v>
      </c>
      <c r="B76" s="80"/>
      <c r="C76" s="81"/>
      <c r="D76" s="82" t="s">
        <v>158</v>
      </c>
      <c r="E76" s="47">
        <f>90/2*0.376</f>
        <v>16.920000000000002</v>
      </c>
      <c r="F76" s="46">
        <v>0.1</v>
      </c>
      <c r="G76" s="47">
        <f t="shared" si="97"/>
        <v>18.612000000000002</v>
      </c>
      <c r="H76" s="60" t="s">
        <v>47</v>
      </c>
      <c r="I76" s="48">
        <v>1.4999999999999999E-2</v>
      </c>
      <c r="J76" s="49">
        <f t="shared" si="98"/>
        <v>0.27918000000000004</v>
      </c>
      <c r="K76" s="50">
        <v>50</v>
      </c>
      <c r="L76" s="51">
        <f t="shared" si="99"/>
        <v>0.75</v>
      </c>
      <c r="M76" s="51">
        <f t="shared" si="100"/>
        <v>13.959000000000001</v>
      </c>
      <c r="N76" s="51">
        <v>1.1000000000000001</v>
      </c>
      <c r="O76" s="51">
        <f t="shared" si="101"/>
        <v>20.473200000000002</v>
      </c>
      <c r="P76" s="51">
        <f t="shared" si="102"/>
        <v>1.85</v>
      </c>
      <c r="Q76" s="101">
        <f t="shared" si="103"/>
        <v>34.432200000000002</v>
      </c>
      <c r="R76" s="41"/>
      <c r="S76" s="41"/>
    </row>
    <row r="77" spans="1:19">
      <c r="A77" s="63">
        <f>IF(F77&lt;&gt;"",1+MAX($A$2:A76),"")</f>
        <v>54</v>
      </c>
      <c r="B77" s="80"/>
      <c r="C77" s="81"/>
      <c r="D77" s="82" t="s">
        <v>50</v>
      </c>
      <c r="E77" s="47">
        <f>E74*1.25</f>
        <v>2.7791666666666663</v>
      </c>
      <c r="F77" s="46">
        <v>0.1</v>
      </c>
      <c r="G77" s="47">
        <f t="shared" si="97"/>
        <v>3.0570833333333329</v>
      </c>
      <c r="H77" s="60" t="s">
        <v>46</v>
      </c>
      <c r="I77" s="48">
        <v>1.1000000000000001</v>
      </c>
      <c r="J77" s="49">
        <f t="shared" si="98"/>
        <v>3.3627916666666664</v>
      </c>
      <c r="K77" s="50">
        <v>50</v>
      </c>
      <c r="L77" s="51">
        <f t="shared" si="99"/>
        <v>55.000000000000007</v>
      </c>
      <c r="M77" s="51">
        <f t="shared" si="100"/>
        <v>168.13958333333332</v>
      </c>
      <c r="N77" s="51">
        <v>0</v>
      </c>
      <c r="O77" s="51">
        <f t="shared" si="101"/>
        <v>0</v>
      </c>
      <c r="P77" s="51">
        <f t="shared" si="102"/>
        <v>55.000000000000007</v>
      </c>
      <c r="Q77" s="101">
        <f t="shared" si="103"/>
        <v>168.13958333333332</v>
      </c>
      <c r="R77" s="41"/>
      <c r="S77" s="41"/>
    </row>
    <row r="78" spans="1:19">
      <c r="A78" s="63">
        <f>IF(F78&lt;&gt;"",1+MAX($A$2:A77),"")</f>
        <v>55</v>
      </c>
      <c r="B78" s="80"/>
      <c r="C78" s="81"/>
      <c r="D78" s="82" t="s">
        <v>48</v>
      </c>
      <c r="E78" s="47">
        <f>90*1*2</f>
        <v>180</v>
      </c>
      <c r="F78" s="46">
        <v>0.1</v>
      </c>
      <c r="G78" s="47">
        <f t="shared" si="97"/>
        <v>198</v>
      </c>
      <c r="H78" s="60" t="s">
        <v>49</v>
      </c>
      <c r="I78" s="48">
        <v>0.09</v>
      </c>
      <c r="J78" s="49">
        <f t="shared" si="98"/>
        <v>17.82</v>
      </c>
      <c r="K78" s="50">
        <v>50</v>
      </c>
      <c r="L78" s="51">
        <f t="shared" si="99"/>
        <v>4.5</v>
      </c>
      <c r="M78" s="51">
        <f t="shared" si="100"/>
        <v>891</v>
      </c>
      <c r="N78" s="51">
        <v>0</v>
      </c>
      <c r="O78" s="51">
        <f t="shared" si="101"/>
        <v>0</v>
      </c>
      <c r="P78" s="51">
        <f t="shared" si="102"/>
        <v>4.5</v>
      </c>
      <c r="Q78" s="101">
        <f t="shared" si="103"/>
        <v>891</v>
      </c>
      <c r="R78" s="41"/>
      <c r="S78" s="41"/>
    </row>
    <row r="79" spans="1:19">
      <c r="A79" s="63" t="str">
        <f>IF(F79&lt;&gt;"",1+MAX($A$2:A78),"")</f>
        <v/>
      </c>
      <c r="B79" s="80"/>
      <c r="C79" s="81"/>
      <c r="D79" s="82"/>
      <c r="E79" s="47"/>
      <c r="F79" s="46"/>
      <c r="G79" s="47"/>
      <c r="H79" s="60"/>
      <c r="I79" s="48"/>
      <c r="J79" s="49"/>
      <c r="K79" s="50"/>
      <c r="L79" s="51"/>
      <c r="M79" s="51"/>
      <c r="N79" s="51"/>
      <c r="O79" s="51"/>
      <c r="P79" s="51"/>
      <c r="Q79" s="101"/>
      <c r="R79" s="41"/>
      <c r="S79" s="41"/>
    </row>
    <row r="80" spans="1:19">
      <c r="A80" s="63">
        <f>IF(F80&lt;&gt;"",1+MAX($A$2:A79),"")</f>
        <v>56</v>
      </c>
      <c r="B80" s="80"/>
      <c r="C80" s="81"/>
      <c r="D80" s="209" t="s">
        <v>159</v>
      </c>
      <c r="E80" s="47">
        <f>229*1*2/27</f>
        <v>16.962962962962962</v>
      </c>
      <c r="F80" s="46">
        <v>0.1</v>
      </c>
      <c r="G80" s="47">
        <f t="shared" ref="G80:G84" si="104">(F80*E80)+E80</f>
        <v>18.659259259259258</v>
      </c>
      <c r="H80" s="60" t="s">
        <v>46</v>
      </c>
      <c r="I80" s="48">
        <v>3</v>
      </c>
      <c r="J80" s="49">
        <f t="shared" ref="J80:J84" si="105">+I80*G80</f>
        <v>55.977777777777774</v>
      </c>
      <c r="K80" s="50">
        <v>50</v>
      </c>
      <c r="L80" s="51">
        <f t="shared" ref="L80:L84" si="106">I80*K80</f>
        <v>150</v>
      </c>
      <c r="M80" s="51">
        <f t="shared" ref="M80:M84" si="107">K80*J80</f>
        <v>2798.8888888888887</v>
      </c>
      <c r="N80" s="51">
        <v>230</v>
      </c>
      <c r="O80" s="51">
        <f t="shared" ref="O80:O84" si="108">N80*G80</f>
        <v>4291.6296296296296</v>
      </c>
      <c r="P80" s="51">
        <f t="shared" ref="P80:P84" si="109">(I80*K80)+N80</f>
        <v>380</v>
      </c>
      <c r="Q80" s="101">
        <f t="shared" ref="Q80:Q84" si="110">P80*G80</f>
        <v>7090.5185185185182</v>
      </c>
      <c r="R80" s="41"/>
      <c r="S80" s="41"/>
    </row>
    <row r="81" spans="1:19">
      <c r="A81" s="63">
        <f>IF(F81&lt;&gt;"",1+MAX($A$2:A80),"")</f>
        <v>57</v>
      </c>
      <c r="B81" s="80"/>
      <c r="C81" s="81"/>
      <c r="D81" s="82" t="s">
        <v>160</v>
      </c>
      <c r="E81" s="47">
        <f>229*4*1.502</f>
        <v>1375.8320000000001</v>
      </c>
      <c r="F81" s="46">
        <v>0.1</v>
      </c>
      <c r="G81" s="47">
        <f t="shared" si="104"/>
        <v>1513.4152000000001</v>
      </c>
      <c r="H81" s="60" t="s">
        <v>47</v>
      </c>
      <c r="I81" s="48">
        <v>1.4999999999999999E-2</v>
      </c>
      <c r="J81" s="49">
        <f t="shared" si="105"/>
        <v>22.701228</v>
      </c>
      <c r="K81" s="50">
        <v>50</v>
      </c>
      <c r="L81" s="51">
        <f t="shared" si="106"/>
        <v>0.75</v>
      </c>
      <c r="M81" s="51">
        <f t="shared" si="107"/>
        <v>1135.0614</v>
      </c>
      <c r="N81" s="51">
        <v>1.1000000000000001</v>
      </c>
      <c r="O81" s="51">
        <f t="shared" si="108"/>
        <v>1664.7567200000003</v>
      </c>
      <c r="P81" s="51">
        <f t="shared" si="109"/>
        <v>1.85</v>
      </c>
      <c r="Q81" s="101">
        <f t="shared" si="110"/>
        <v>2799.8181200000004</v>
      </c>
      <c r="R81" s="41"/>
      <c r="S81" s="41"/>
    </row>
    <row r="82" spans="1:19">
      <c r="A82" s="63">
        <f>IF(F82&lt;&gt;"",1+MAX($A$2:A81),"")</f>
        <v>58</v>
      </c>
      <c r="B82" s="80"/>
      <c r="C82" s="81"/>
      <c r="D82" s="82" t="s">
        <v>161</v>
      </c>
      <c r="E82" s="47">
        <f>229/1.5*0.376</f>
        <v>57.402666666666661</v>
      </c>
      <c r="F82" s="46">
        <v>0.1</v>
      </c>
      <c r="G82" s="47">
        <f t="shared" si="104"/>
        <v>63.142933333333332</v>
      </c>
      <c r="H82" s="60" t="s">
        <v>47</v>
      </c>
      <c r="I82" s="48">
        <v>1.4999999999999999E-2</v>
      </c>
      <c r="J82" s="49">
        <f t="shared" si="105"/>
        <v>0.94714399999999999</v>
      </c>
      <c r="K82" s="50">
        <v>50</v>
      </c>
      <c r="L82" s="51">
        <f t="shared" si="106"/>
        <v>0.75</v>
      </c>
      <c r="M82" s="51">
        <f t="shared" si="107"/>
        <v>47.357199999999999</v>
      </c>
      <c r="N82" s="51">
        <v>1.1000000000000001</v>
      </c>
      <c r="O82" s="51">
        <f t="shared" si="108"/>
        <v>69.457226666666671</v>
      </c>
      <c r="P82" s="51">
        <f t="shared" si="109"/>
        <v>1.85</v>
      </c>
      <c r="Q82" s="101">
        <f t="shared" si="110"/>
        <v>116.81442666666666</v>
      </c>
      <c r="R82" s="41"/>
      <c r="S82" s="41"/>
    </row>
    <row r="83" spans="1:19">
      <c r="A83" s="63">
        <f>IF(F83&lt;&gt;"",1+MAX($A$2:A82),"")</f>
        <v>59</v>
      </c>
      <c r="B83" s="80"/>
      <c r="C83" s="81"/>
      <c r="D83" s="82" t="s">
        <v>50</v>
      </c>
      <c r="E83" s="47">
        <f>E80*1.25</f>
        <v>21.203703703703702</v>
      </c>
      <c r="F83" s="46">
        <v>0.1</v>
      </c>
      <c r="G83" s="47">
        <f t="shared" si="104"/>
        <v>23.324074074074073</v>
      </c>
      <c r="H83" s="60" t="s">
        <v>46</v>
      </c>
      <c r="I83" s="48">
        <v>1.1000000000000001</v>
      </c>
      <c r="J83" s="49">
        <f t="shared" si="105"/>
        <v>25.656481481481482</v>
      </c>
      <c r="K83" s="50">
        <v>50</v>
      </c>
      <c r="L83" s="51">
        <f t="shared" si="106"/>
        <v>55.000000000000007</v>
      </c>
      <c r="M83" s="51">
        <f t="shared" si="107"/>
        <v>1282.8240740740741</v>
      </c>
      <c r="N83" s="51">
        <v>0</v>
      </c>
      <c r="O83" s="51">
        <f t="shared" si="108"/>
        <v>0</v>
      </c>
      <c r="P83" s="51">
        <f t="shared" si="109"/>
        <v>55.000000000000007</v>
      </c>
      <c r="Q83" s="101">
        <f t="shared" si="110"/>
        <v>1282.8240740740741</v>
      </c>
      <c r="R83" s="41"/>
      <c r="S83" s="41"/>
    </row>
    <row r="84" spans="1:19">
      <c r="A84" s="63">
        <f>IF(F84&lt;&gt;"",1+MAX($A$2:A83),"")</f>
        <v>60</v>
      </c>
      <c r="B84" s="80"/>
      <c r="C84" s="81"/>
      <c r="D84" s="82" t="s">
        <v>48</v>
      </c>
      <c r="E84" s="47">
        <f>229*2*2</f>
        <v>916</v>
      </c>
      <c r="F84" s="46">
        <v>0.1</v>
      </c>
      <c r="G84" s="47">
        <f t="shared" si="104"/>
        <v>1007.6</v>
      </c>
      <c r="H84" s="60" t="s">
        <v>49</v>
      </c>
      <c r="I84" s="48">
        <v>0.09</v>
      </c>
      <c r="J84" s="49">
        <f t="shared" si="105"/>
        <v>90.683999999999997</v>
      </c>
      <c r="K84" s="50">
        <v>50</v>
      </c>
      <c r="L84" s="51">
        <f t="shared" si="106"/>
        <v>4.5</v>
      </c>
      <c r="M84" s="51">
        <f t="shared" si="107"/>
        <v>4534.2</v>
      </c>
      <c r="N84" s="51">
        <v>0</v>
      </c>
      <c r="O84" s="51">
        <f t="shared" si="108"/>
        <v>0</v>
      </c>
      <c r="P84" s="51">
        <f t="shared" si="109"/>
        <v>4.5</v>
      </c>
      <c r="Q84" s="101">
        <f t="shared" si="110"/>
        <v>4534.2</v>
      </c>
      <c r="R84" s="41"/>
      <c r="S84" s="41"/>
    </row>
    <row r="85" spans="1:19">
      <c r="A85" s="63" t="str">
        <f>IF(F85&lt;&gt;"",1+MAX($A$2:A84),"")</f>
        <v/>
      </c>
      <c r="B85" s="80"/>
      <c r="C85" s="81"/>
      <c r="D85" s="82"/>
      <c r="E85" s="47"/>
      <c r="F85" s="46"/>
      <c r="G85" s="47"/>
      <c r="H85" s="60"/>
      <c r="I85" s="48"/>
      <c r="J85" s="49"/>
      <c r="K85" s="50"/>
      <c r="L85" s="51"/>
      <c r="M85" s="51"/>
      <c r="N85" s="51"/>
      <c r="O85" s="51"/>
      <c r="P85" s="51"/>
      <c r="Q85" s="101"/>
      <c r="R85" s="41"/>
      <c r="S85" s="41"/>
    </row>
    <row r="86" spans="1:19">
      <c r="A86" s="63">
        <f>IF(F86&lt;&gt;"",1+MAX($A$2:A85),"")</f>
        <v>61</v>
      </c>
      <c r="B86" s="80"/>
      <c r="C86" s="81"/>
      <c r="D86" s="209" t="s">
        <v>162</v>
      </c>
      <c r="E86" s="47">
        <f>884*1.33*2/27</f>
        <v>87.090370370370366</v>
      </c>
      <c r="F86" s="46">
        <v>0.1</v>
      </c>
      <c r="G86" s="47">
        <f t="shared" ref="G86:G90" si="111">(F86*E86)+E86</f>
        <v>95.799407407407401</v>
      </c>
      <c r="H86" s="60" t="s">
        <v>46</v>
      </c>
      <c r="I86" s="48">
        <v>3</v>
      </c>
      <c r="J86" s="49">
        <f t="shared" ref="J86:J90" si="112">+I86*G86</f>
        <v>287.39822222222222</v>
      </c>
      <c r="K86" s="50">
        <v>50</v>
      </c>
      <c r="L86" s="51">
        <f t="shared" ref="L86:L90" si="113">I86*K86</f>
        <v>150</v>
      </c>
      <c r="M86" s="51">
        <f t="shared" ref="M86:M90" si="114">K86*J86</f>
        <v>14369.911111111111</v>
      </c>
      <c r="N86" s="51">
        <v>230</v>
      </c>
      <c r="O86" s="51">
        <f t="shared" ref="O86:O90" si="115">N86*G86</f>
        <v>22033.863703703701</v>
      </c>
      <c r="P86" s="51">
        <f t="shared" ref="P86:P90" si="116">(I86*K86)+N86</f>
        <v>380</v>
      </c>
      <c r="Q86" s="101">
        <f t="shared" ref="Q86:Q90" si="117">P86*G86</f>
        <v>36403.774814814809</v>
      </c>
      <c r="R86" s="41"/>
      <c r="S86" s="41"/>
    </row>
    <row r="87" spans="1:19">
      <c r="A87" s="63">
        <f>IF(F87&lt;&gt;"",1+MAX($A$2:A86),"")</f>
        <v>62</v>
      </c>
      <c r="B87" s="80"/>
      <c r="C87" s="81"/>
      <c r="D87" s="82" t="s">
        <v>163</v>
      </c>
      <c r="E87" s="47">
        <f>884*6*1.502</f>
        <v>7966.6080000000002</v>
      </c>
      <c r="F87" s="46">
        <v>0.1</v>
      </c>
      <c r="G87" s="47">
        <f t="shared" si="111"/>
        <v>8763.2687999999998</v>
      </c>
      <c r="H87" s="60" t="s">
        <v>47</v>
      </c>
      <c r="I87" s="48">
        <v>1.4999999999999999E-2</v>
      </c>
      <c r="J87" s="49">
        <f t="shared" si="112"/>
        <v>131.44903199999999</v>
      </c>
      <c r="K87" s="50">
        <v>50</v>
      </c>
      <c r="L87" s="51">
        <f t="shared" si="113"/>
        <v>0.75</v>
      </c>
      <c r="M87" s="51">
        <f t="shared" si="114"/>
        <v>6572.4515999999994</v>
      </c>
      <c r="N87" s="51">
        <v>1.1000000000000001</v>
      </c>
      <c r="O87" s="51">
        <f t="shared" si="115"/>
        <v>9639.5956800000004</v>
      </c>
      <c r="P87" s="51">
        <f t="shared" si="116"/>
        <v>1.85</v>
      </c>
      <c r="Q87" s="101">
        <f t="shared" si="117"/>
        <v>16212.047280000001</v>
      </c>
      <c r="R87" s="41"/>
      <c r="S87" s="41"/>
    </row>
    <row r="88" spans="1:19">
      <c r="A88" s="63">
        <f>IF(F88&lt;&gt;"",1+MAX($A$2:A87),"")</f>
        <v>63</v>
      </c>
      <c r="B88" s="80"/>
      <c r="C88" s="81"/>
      <c r="D88" s="82" t="s">
        <v>161</v>
      </c>
      <c r="E88" s="47">
        <f>884/1.5*0.376</f>
        <v>221.58933333333334</v>
      </c>
      <c r="F88" s="46">
        <v>0.1</v>
      </c>
      <c r="G88" s="47">
        <f t="shared" si="111"/>
        <v>243.74826666666667</v>
      </c>
      <c r="H88" s="60" t="s">
        <v>47</v>
      </c>
      <c r="I88" s="48">
        <v>1.4999999999999999E-2</v>
      </c>
      <c r="J88" s="49">
        <f t="shared" si="112"/>
        <v>3.6562239999999999</v>
      </c>
      <c r="K88" s="50">
        <v>50</v>
      </c>
      <c r="L88" s="51">
        <f t="shared" si="113"/>
        <v>0.75</v>
      </c>
      <c r="M88" s="51">
        <f t="shared" si="114"/>
        <v>182.81119999999999</v>
      </c>
      <c r="N88" s="51">
        <v>1.1000000000000001</v>
      </c>
      <c r="O88" s="51">
        <f t="shared" si="115"/>
        <v>268.12309333333337</v>
      </c>
      <c r="P88" s="51">
        <f t="shared" si="116"/>
        <v>1.85</v>
      </c>
      <c r="Q88" s="101">
        <f t="shared" si="117"/>
        <v>450.93429333333336</v>
      </c>
      <c r="R88" s="41"/>
      <c r="S88" s="41"/>
    </row>
    <row r="89" spans="1:19">
      <c r="A89" s="63">
        <f>IF(F89&lt;&gt;"",1+MAX($A$2:A88),"")</f>
        <v>64</v>
      </c>
      <c r="B89" s="80"/>
      <c r="C89" s="81"/>
      <c r="D89" s="82" t="s">
        <v>50</v>
      </c>
      <c r="E89" s="47">
        <f>E86*1.25</f>
        <v>108.86296296296295</v>
      </c>
      <c r="F89" s="46">
        <v>0.1</v>
      </c>
      <c r="G89" s="47">
        <f t="shared" si="111"/>
        <v>119.74925925925925</v>
      </c>
      <c r="H89" s="60" t="s">
        <v>46</v>
      </c>
      <c r="I89" s="48">
        <v>1.1000000000000001</v>
      </c>
      <c r="J89" s="49">
        <f t="shared" si="112"/>
        <v>131.72418518518518</v>
      </c>
      <c r="K89" s="50">
        <v>50</v>
      </c>
      <c r="L89" s="51">
        <f t="shared" si="113"/>
        <v>55.000000000000007</v>
      </c>
      <c r="M89" s="51">
        <f t="shared" si="114"/>
        <v>6586.2092592592589</v>
      </c>
      <c r="N89" s="51">
        <v>0</v>
      </c>
      <c r="O89" s="51">
        <f t="shared" si="115"/>
        <v>0</v>
      </c>
      <c r="P89" s="51">
        <f t="shared" si="116"/>
        <v>55.000000000000007</v>
      </c>
      <c r="Q89" s="101">
        <f t="shared" si="117"/>
        <v>6586.2092592592599</v>
      </c>
      <c r="R89" s="41"/>
      <c r="S89" s="41"/>
    </row>
    <row r="90" spans="1:19">
      <c r="A90" s="63">
        <f>IF(F90&lt;&gt;"",1+MAX($A$2:A89),"")</f>
        <v>65</v>
      </c>
      <c r="B90" s="80"/>
      <c r="C90" s="81"/>
      <c r="D90" s="82" t="s">
        <v>48</v>
      </c>
      <c r="E90" s="47">
        <f>884*2*2</f>
        <v>3536</v>
      </c>
      <c r="F90" s="46">
        <v>0.1</v>
      </c>
      <c r="G90" s="47">
        <f t="shared" si="111"/>
        <v>3889.6</v>
      </c>
      <c r="H90" s="60" t="s">
        <v>49</v>
      </c>
      <c r="I90" s="48">
        <v>0.09</v>
      </c>
      <c r="J90" s="49">
        <f t="shared" si="112"/>
        <v>350.06399999999996</v>
      </c>
      <c r="K90" s="50">
        <v>50</v>
      </c>
      <c r="L90" s="51">
        <f t="shared" si="113"/>
        <v>4.5</v>
      </c>
      <c r="M90" s="51">
        <f t="shared" si="114"/>
        <v>17503.199999999997</v>
      </c>
      <c r="N90" s="51">
        <v>0</v>
      </c>
      <c r="O90" s="51">
        <f t="shared" si="115"/>
        <v>0</v>
      </c>
      <c r="P90" s="51">
        <f t="shared" si="116"/>
        <v>4.5</v>
      </c>
      <c r="Q90" s="101">
        <f t="shared" si="117"/>
        <v>17503.2</v>
      </c>
      <c r="R90" s="41"/>
      <c r="S90" s="41"/>
    </row>
    <row r="91" spans="1:19">
      <c r="A91" s="63" t="str">
        <f>IF(F91&lt;&gt;"",1+MAX($A$2:A90),"")</f>
        <v/>
      </c>
      <c r="B91" s="80"/>
      <c r="C91" s="81"/>
      <c r="D91" s="82"/>
      <c r="E91" s="47"/>
      <c r="F91" s="46"/>
      <c r="G91" s="47"/>
      <c r="H91" s="60"/>
      <c r="I91" s="48"/>
      <c r="J91" s="49"/>
      <c r="K91" s="50"/>
      <c r="L91" s="51"/>
      <c r="M91" s="51"/>
      <c r="N91" s="51"/>
      <c r="O91" s="51"/>
      <c r="P91" s="51"/>
      <c r="Q91" s="101"/>
      <c r="R91" s="41"/>
      <c r="S91" s="41"/>
    </row>
    <row r="92" spans="1:19">
      <c r="A92" s="63">
        <f>IF(F92&lt;&gt;"",1+MAX($A$2:A91),"")</f>
        <v>66</v>
      </c>
      <c r="B92" s="80"/>
      <c r="C92" s="81"/>
      <c r="D92" s="209" t="s">
        <v>164</v>
      </c>
      <c r="E92" s="47">
        <f>104*1.33*2.75/27</f>
        <v>14.088148148148148</v>
      </c>
      <c r="F92" s="46">
        <v>0.1</v>
      </c>
      <c r="G92" s="47">
        <f t="shared" ref="G92:G96" si="118">(F92*E92)+E92</f>
        <v>15.496962962962963</v>
      </c>
      <c r="H92" s="60" t="s">
        <v>46</v>
      </c>
      <c r="I92" s="48">
        <v>3</v>
      </c>
      <c r="J92" s="49">
        <f t="shared" ref="J92:J96" si="119">+I92*G92</f>
        <v>46.49088888888889</v>
      </c>
      <c r="K92" s="50">
        <v>50</v>
      </c>
      <c r="L92" s="51">
        <f t="shared" ref="L92:L96" si="120">I92*K92</f>
        <v>150</v>
      </c>
      <c r="M92" s="51">
        <f t="shared" ref="M92:M96" si="121">K92*J92</f>
        <v>2324.5444444444447</v>
      </c>
      <c r="N92" s="51">
        <v>230</v>
      </c>
      <c r="O92" s="51">
        <f t="shared" ref="O92:O96" si="122">N92*G92</f>
        <v>3564.3014814814815</v>
      </c>
      <c r="P92" s="51">
        <f t="shared" ref="P92:P96" si="123">(I92*K92)+N92</f>
        <v>380</v>
      </c>
      <c r="Q92" s="101">
        <f t="shared" ref="Q92:Q96" si="124">P92*G92</f>
        <v>5888.8459259259262</v>
      </c>
      <c r="R92" s="41"/>
      <c r="S92" s="41"/>
    </row>
    <row r="93" spans="1:19">
      <c r="A93" s="63">
        <f>IF(F93&lt;&gt;"",1+MAX($A$2:A92),"")</f>
        <v>67</v>
      </c>
      <c r="B93" s="80"/>
      <c r="C93" s="81"/>
      <c r="D93" s="82" t="s">
        <v>163</v>
      </c>
      <c r="E93" s="47">
        <f>104*6*1.502</f>
        <v>937.24800000000005</v>
      </c>
      <c r="F93" s="46">
        <v>0.1</v>
      </c>
      <c r="G93" s="47">
        <f t="shared" si="118"/>
        <v>1030.9728</v>
      </c>
      <c r="H93" s="60" t="s">
        <v>47</v>
      </c>
      <c r="I93" s="48">
        <v>1.4999999999999999E-2</v>
      </c>
      <c r="J93" s="49">
        <f t="shared" si="119"/>
        <v>15.464592</v>
      </c>
      <c r="K93" s="50">
        <v>50</v>
      </c>
      <c r="L93" s="51">
        <f t="shared" si="120"/>
        <v>0.75</v>
      </c>
      <c r="M93" s="51">
        <f t="shared" si="121"/>
        <v>773.2296</v>
      </c>
      <c r="N93" s="51">
        <v>1.1000000000000001</v>
      </c>
      <c r="O93" s="51">
        <f t="shared" si="122"/>
        <v>1134.0700800000002</v>
      </c>
      <c r="P93" s="51">
        <f t="shared" si="123"/>
        <v>1.85</v>
      </c>
      <c r="Q93" s="101">
        <f t="shared" si="124"/>
        <v>1907.2996800000001</v>
      </c>
      <c r="R93" s="41"/>
      <c r="S93" s="41"/>
    </row>
    <row r="94" spans="1:19">
      <c r="A94" s="63">
        <f>IF(F94&lt;&gt;"",1+MAX($A$2:A93),"")</f>
        <v>68</v>
      </c>
      <c r="B94" s="80"/>
      <c r="C94" s="81"/>
      <c r="D94" s="82" t="s">
        <v>161</v>
      </c>
      <c r="E94" s="47">
        <f>104/1.5*0.376</f>
        <v>26.069333333333333</v>
      </c>
      <c r="F94" s="46">
        <v>0.1</v>
      </c>
      <c r="G94" s="47">
        <f t="shared" si="118"/>
        <v>28.676266666666667</v>
      </c>
      <c r="H94" s="60" t="s">
        <v>47</v>
      </c>
      <c r="I94" s="48">
        <v>1.4999999999999999E-2</v>
      </c>
      <c r="J94" s="49">
        <f t="shared" si="119"/>
        <v>0.43014399999999997</v>
      </c>
      <c r="K94" s="50">
        <v>50</v>
      </c>
      <c r="L94" s="51">
        <f t="shared" si="120"/>
        <v>0.75</v>
      </c>
      <c r="M94" s="51">
        <f t="shared" si="121"/>
        <v>21.507199999999997</v>
      </c>
      <c r="N94" s="51">
        <v>1.1000000000000001</v>
      </c>
      <c r="O94" s="51">
        <f t="shared" si="122"/>
        <v>31.543893333333337</v>
      </c>
      <c r="P94" s="51">
        <f t="shared" si="123"/>
        <v>1.85</v>
      </c>
      <c r="Q94" s="101">
        <f t="shared" si="124"/>
        <v>53.051093333333334</v>
      </c>
      <c r="R94" s="41"/>
      <c r="S94" s="41"/>
    </row>
    <row r="95" spans="1:19">
      <c r="A95" s="63">
        <f>IF(F95&lt;&gt;"",1+MAX($A$2:A94),"")</f>
        <v>69</v>
      </c>
      <c r="B95" s="80"/>
      <c r="C95" s="81"/>
      <c r="D95" s="82" t="s">
        <v>50</v>
      </c>
      <c r="E95" s="47">
        <f>E92*1.25</f>
        <v>17.610185185185184</v>
      </c>
      <c r="F95" s="46">
        <v>0.1</v>
      </c>
      <c r="G95" s="47">
        <f t="shared" si="118"/>
        <v>19.371203703703703</v>
      </c>
      <c r="H95" s="60" t="s">
        <v>46</v>
      </c>
      <c r="I95" s="48">
        <v>1.1000000000000001</v>
      </c>
      <c r="J95" s="49">
        <f t="shared" si="119"/>
        <v>21.308324074074076</v>
      </c>
      <c r="K95" s="50">
        <v>50</v>
      </c>
      <c r="L95" s="51">
        <f t="shared" si="120"/>
        <v>55.000000000000007</v>
      </c>
      <c r="M95" s="51">
        <f t="shared" si="121"/>
        <v>1065.4162037037038</v>
      </c>
      <c r="N95" s="51">
        <v>0</v>
      </c>
      <c r="O95" s="51">
        <f t="shared" si="122"/>
        <v>0</v>
      </c>
      <c r="P95" s="51">
        <f t="shared" si="123"/>
        <v>55.000000000000007</v>
      </c>
      <c r="Q95" s="101">
        <f t="shared" si="124"/>
        <v>1065.4162037037038</v>
      </c>
      <c r="R95" s="41"/>
      <c r="S95" s="41"/>
    </row>
    <row r="96" spans="1:19">
      <c r="A96" s="63">
        <f>IF(F96&lt;&gt;"",1+MAX($A$2:A95),"")</f>
        <v>70</v>
      </c>
      <c r="B96" s="80"/>
      <c r="C96" s="81"/>
      <c r="D96" s="82" t="s">
        <v>48</v>
      </c>
      <c r="E96" s="47">
        <f>104*2.75*2</f>
        <v>572</v>
      </c>
      <c r="F96" s="46">
        <v>0.1</v>
      </c>
      <c r="G96" s="47">
        <f t="shared" si="118"/>
        <v>629.20000000000005</v>
      </c>
      <c r="H96" s="60" t="s">
        <v>49</v>
      </c>
      <c r="I96" s="48">
        <v>0.09</v>
      </c>
      <c r="J96" s="49">
        <f t="shared" si="119"/>
        <v>56.628</v>
      </c>
      <c r="K96" s="50">
        <v>50</v>
      </c>
      <c r="L96" s="51">
        <f t="shared" si="120"/>
        <v>4.5</v>
      </c>
      <c r="M96" s="51">
        <f t="shared" si="121"/>
        <v>2831.4</v>
      </c>
      <c r="N96" s="51">
        <v>0</v>
      </c>
      <c r="O96" s="51">
        <f t="shared" si="122"/>
        <v>0</v>
      </c>
      <c r="P96" s="51">
        <f t="shared" si="123"/>
        <v>4.5</v>
      </c>
      <c r="Q96" s="101">
        <f t="shared" si="124"/>
        <v>2831.4</v>
      </c>
      <c r="R96" s="41"/>
      <c r="S96" s="41"/>
    </row>
    <row r="97" spans="1:19">
      <c r="A97" s="63" t="str">
        <f>IF(F97&lt;&gt;"",1+MAX($A$2:A96),"")</f>
        <v/>
      </c>
      <c r="B97" s="80"/>
      <c r="C97" s="81"/>
      <c r="D97" s="82"/>
      <c r="E97" s="47"/>
      <c r="F97" s="46"/>
      <c r="G97" s="47"/>
      <c r="H97" s="60"/>
      <c r="I97" s="48"/>
      <c r="J97" s="49"/>
      <c r="K97" s="50"/>
      <c r="L97" s="51"/>
      <c r="M97" s="51"/>
      <c r="N97" s="51"/>
      <c r="O97" s="51"/>
      <c r="P97" s="51"/>
      <c r="Q97" s="101"/>
      <c r="R97" s="41"/>
      <c r="S97" s="41"/>
    </row>
    <row r="98" spans="1:19">
      <c r="A98" s="63">
        <f>IF(F98&lt;&gt;"",1+MAX($A$2:A97),"")</f>
        <v>71</v>
      </c>
      <c r="B98" s="80"/>
      <c r="C98" s="81"/>
      <c r="D98" s="209" t="s">
        <v>165</v>
      </c>
      <c r="E98" s="47">
        <f>90*1.33*5.33/27</f>
        <v>23.629666666666665</v>
      </c>
      <c r="F98" s="46">
        <v>0.1</v>
      </c>
      <c r="G98" s="47">
        <f t="shared" ref="G98:G102" si="125">(F98*E98)+E98</f>
        <v>25.99263333333333</v>
      </c>
      <c r="H98" s="60" t="s">
        <v>46</v>
      </c>
      <c r="I98" s="48">
        <v>3</v>
      </c>
      <c r="J98" s="49">
        <f t="shared" ref="J98:J102" si="126">+I98*G98</f>
        <v>77.977899999999991</v>
      </c>
      <c r="K98" s="50">
        <v>50</v>
      </c>
      <c r="L98" s="51">
        <f t="shared" ref="L98:L102" si="127">I98*K98</f>
        <v>150</v>
      </c>
      <c r="M98" s="51">
        <f t="shared" ref="M98:M102" si="128">K98*J98</f>
        <v>3898.8949999999995</v>
      </c>
      <c r="N98" s="51">
        <v>230</v>
      </c>
      <c r="O98" s="51">
        <f t="shared" ref="O98:O102" si="129">N98*G98</f>
        <v>5978.3056666666662</v>
      </c>
      <c r="P98" s="51">
        <f t="shared" ref="P98:P102" si="130">(I98*K98)+N98</f>
        <v>380</v>
      </c>
      <c r="Q98" s="101">
        <f t="shared" ref="Q98:Q102" si="131">P98*G98</f>
        <v>9877.2006666666657</v>
      </c>
      <c r="R98" s="41"/>
      <c r="S98" s="41"/>
    </row>
    <row r="99" spans="1:19">
      <c r="A99" s="63">
        <f>IF(F99&lt;&gt;"",1+MAX($A$2:A98),"")</f>
        <v>72</v>
      </c>
      <c r="B99" s="80"/>
      <c r="C99" s="81"/>
      <c r="D99" s="82" t="s">
        <v>166</v>
      </c>
      <c r="E99" s="47">
        <f>90*12*1.502</f>
        <v>1622.16</v>
      </c>
      <c r="F99" s="46">
        <v>0.1</v>
      </c>
      <c r="G99" s="47">
        <f t="shared" si="125"/>
        <v>1784.3760000000002</v>
      </c>
      <c r="H99" s="60" t="s">
        <v>47</v>
      </c>
      <c r="I99" s="48">
        <v>1.4999999999999999E-2</v>
      </c>
      <c r="J99" s="49">
        <f t="shared" si="126"/>
        <v>26.765640000000001</v>
      </c>
      <c r="K99" s="50">
        <v>50</v>
      </c>
      <c r="L99" s="51">
        <f t="shared" si="127"/>
        <v>0.75</v>
      </c>
      <c r="M99" s="51">
        <f t="shared" si="128"/>
        <v>1338.2820000000002</v>
      </c>
      <c r="N99" s="51">
        <v>1.1000000000000001</v>
      </c>
      <c r="O99" s="51">
        <f t="shared" si="129"/>
        <v>1962.8136000000004</v>
      </c>
      <c r="P99" s="51">
        <f t="shared" si="130"/>
        <v>1.85</v>
      </c>
      <c r="Q99" s="101">
        <f t="shared" si="131"/>
        <v>3301.0956000000006</v>
      </c>
      <c r="R99" s="41"/>
      <c r="S99" s="41"/>
    </row>
    <row r="100" spans="1:19">
      <c r="A100" s="63">
        <f>IF(F100&lt;&gt;"",1+MAX($A$2:A99),"")</f>
        <v>73</v>
      </c>
      <c r="B100" s="80"/>
      <c r="C100" s="81"/>
      <c r="D100" s="82" t="s">
        <v>161</v>
      </c>
      <c r="E100" s="47">
        <f>90/1.5*0.376</f>
        <v>22.56</v>
      </c>
      <c r="F100" s="46">
        <v>0.1</v>
      </c>
      <c r="G100" s="47">
        <f t="shared" si="125"/>
        <v>24.815999999999999</v>
      </c>
      <c r="H100" s="60" t="s">
        <v>47</v>
      </c>
      <c r="I100" s="48">
        <v>1.4999999999999999E-2</v>
      </c>
      <c r="J100" s="49">
        <f t="shared" si="126"/>
        <v>0.37223999999999996</v>
      </c>
      <c r="K100" s="50">
        <v>50</v>
      </c>
      <c r="L100" s="51">
        <f t="shared" si="127"/>
        <v>0.75</v>
      </c>
      <c r="M100" s="51">
        <f t="shared" si="128"/>
        <v>18.611999999999998</v>
      </c>
      <c r="N100" s="51">
        <v>1.1000000000000001</v>
      </c>
      <c r="O100" s="51">
        <f t="shared" si="129"/>
        <v>27.297600000000003</v>
      </c>
      <c r="P100" s="51">
        <f t="shared" si="130"/>
        <v>1.85</v>
      </c>
      <c r="Q100" s="101">
        <f t="shared" si="131"/>
        <v>45.909599999999998</v>
      </c>
      <c r="R100" s="41"/>
      <c r="S100" s="41"/>
    </row>
    <row r="101" spans="1:19">
      <c r="A101" s="63">
        <f>IF(F101&lt;&gt;"",1+MAX($A$2:A100),"")</f>
        <v>74</v>
      </c>
      <c r="B101" s="80"/>
      <c r="C101" s="81"/>
      <c r="D101" s="82" t="s">
        <v>50</v>
      </c>
      <c r="E101" s="47">
        <f>E98*1.25</f>
        <v>29.537083333333332</v>
      </c>
      <c r="F101" s="46">
        <v>0.1</v>
      </c>
      <c r="G101" s="47">
        <f t="shared" si="125"/>
        <v>32.490791666666667</v>
      </c>
      <c r="H101" s="60" t="s">
        <v>46</v>
      </c>
      <c r="I101" s="48">
        <v>1.1000000000000001</v>
      </c>
      <c r="J101" s="49">
        <f t="shared" si="126"/>
        <v>35.739870833333335</v>
      </c>
      <c r="K101" s="50">
        <v>50</v>
      </c>
      <c r="L101" s="51">
        <f t="shared" si="127"/>
        <v>55.000000000000007</v>
      </c>
      <c r="M101" s="51">
        <f t="shared" si="128"/>
        <v>1786.9935416666667</v>
      </c>
      <c r="N101" s="51">
        <v>0</v>
      </c>
      <c r="O101" s="51">
        <f t="shared" si="129"/>
        <v>0</v>
      </c>
      <c r="P101" s="51">
        <f t="shared" si="130"/>
        <v>55.000000000000007</v>
      </c>
      <c r="Q101" s="101">
        <f t="shared" si="131"/>
        <v>1786.9935416666669</v>
      </c>
      <c r="R101" s="41"/>
      <c r="S101" s="41"/>
    </row>
    <row r="102" spans="1:19">
      <c r="A102" s="63">
        <f>IF(F102&lt;&gt;"",1+MAX($A$2:A101),"")</f>
        <v>75</v>
      </c>
      <c r="B102" s="80"/>
      <c r="C102" s="81"/>
      <c r="D102" s="82" t="s">
        <v>48</v>
      </c>
      <c r="E102" s="47">
        <f>90*5.33*2</f>
        <v>959.4</v>
      </c>
      <c r="F102" s="46">
        <v>0.1</v>
      </c>
      <c r="G102" s="47">
        <f t="shared" si="125"/>
        <v>1055.3399999999999</v>
      </c>
      <c r="H102" s="60" t="s">
        <v>49</v>
      </c>
      <c r="I102" s="48">
        <v>0.09</v>
      </c>
      <c r="J102" s="49">
        <f t="shared" si="126"/>
        <v>94.980599999999995</v>
      </c>
      <c r="K102" s="50">
        <v>50</v>
      </c>
      <c r="L102" s="51">
        <f t="shared" si="127"/>
        <v>4.5</v>
      </c>
      <c r="M102" s="51">
        <f t="shared" si="128"/>
        <v>4749.03</v>
      </c>
      <c r="N102" s="51">
        <v>0</v>
      </c>
      <c r="O102" s="51">
        <f t="shared" si="129"/>
        <v>0</v>
      </c>
      <c r="P102" s="51">
        <f t="shared" si="130"/>
        <v>4.5</v>
      </c>
      <c r="Q102" s="101">
        <f t="shared" si="131"/>
        <v>4749.03</v>
      </c>
      <c r="R102" s="41"/>
      <c r="S102" s="41"/>
    </row>
    <row r="103" spans="1:19">
      <c r="A103" s="63" t="str">
        <f>IF(F103&lt;&gt;"",1+MAX($A$2:A102),"")</f>
        <v/>
      </c>
      <c r="B103" s="80"/>
      <c r="C103" s="81"/>
      <c r="D103" s="82"/>
      <c r="E103" s="47"/>
      <c r="F103" s="46"/>
      <c r="G103" s="47"/>
      <c r="H103" s="60"/>
      <c r="I103" s="48"/>
      <c r="J103" s="49"/>
      <c r="K103" s="50"/>
      <c r="L103" s="51"/>
      <c r="M103" s="51"/>
      <c r="N103" s="51"/>
      <c r="O103" s="51"/>
      <c r="P103" s="51"/>
      <c r="Q103" s="101"/>
      <c r="R103" s="41"/>
      <c r="S103" s="41"/>
    </row>
    <row r="104" spans="1:19">
      <c r="A104" s="63">
        <f>IF(F104&lt;&gt;"",1+MAX($A$2:A103),"")</f>
        <v>76</v>
      </c>
      <c r="B104" s="80"/>
      <c r="C104" s="81"/>
      <c r="D104" s="209" t="s">
        <v>167</v>
      </c>
      <c r="E104" s="47">
        <f>24*1*7.33/27</f>
        <v>6.5155555555555562</v>
      </c>
      <c r="F104" s="46">
        <v>0.1</v>
      </c>
      <c r="G104" s="47">
        <f t="shared" ref="G104:G108" si="132">(F104*E104)+E104</f>
        <v>7.1671111111111117</v>
      </c>
      <c r="H104" s="60" t="s">
        <v>46</v>
      </c>
      <c r="I104" s="48">
        <v>3</v>
      </c>
      <c r="J104" s="49">
        <f t="shared" ref="J104:J108" si="133">+I104*G104</f>
        <v>21.501333333333335</v>
      </c>
      <c r="K104" s="50">
        <v>50</v>
      </c>
      <c r="L104" s="51">
        <f t="shared" ref="L104:L108" si="134">I104*K104</f>
        <v>150</v>
      </c>
      <c r="M104" s="51">
        <f t="shared" ref="M104:M108" si="135">K104*J104</f>
        <v>1075.0666666666668</v>
      </c>
      <c r="N104" s="51">
        <v>230</v>
      </c>
      <c r="O104" s="51">
        <f t="shared" ref="O104:O108" si="136">N104*G104</f>
        <v>1648.4355555555558</v>
      </c>
      <c r="P104" s="51">
        <f t="shared" ref="P104:P108" si="137">(I104*K104)+N104</f>
        <v>380</v>
      </c>
      <c r="Q104" s="101">
        <f t="shared" ref="Q104:Q108" si="138">P104*G104</f>
        <v>2723.5022222222224</v>
      </c>
      <c r="R104" s="41"/>
      <c r="S104" s="41"/>
    </row>
    <row r="105" spans="1:19">
      <c r="A105" s="63">
        <f>IF(F105&lt;&gt;"",1+MAX($A$2:A104),"")</f>
        <v>77</v>
      </c>
      <c r="B105" s="80"/>
      <c r="C105" s="81"/>
      <c r="D105" s="82" t="s">
        <v>166</v>
      </c>
      <c r="E105" s="47">
        <f>24*12*1.502</f>
        <v>432.57600000000002</v>
      </c>
      <c r="F105" s="46">
        <v>0.1</v>
      </c>
      <c r="G105" s="47">
        <f t="shared" si="132"/>
        <v>475.83360000000005</v>
      </c>
      <c r="H105" s="60" t="s">
        <v>47</v>
      </c>
      <c r="I105" s="48">
        <v>1.4999999999999999E-2</v>
      </c>
      <c r="J105" s="49">
        <f t="shared" si="133"/>
        <v>7.1375040000000007</v>
      </c>
      <c r="K105" s="50">
        <v>50</v>
      </c>
      <c r="L105" s="51">
        <f t="shared" si="134"/>
        <v>0.75</v>
      </c>
      <c r="M105" s="51">
        <f t="shared" si="135"/>
        <v>356.87520000000006</v>
      </c>
      <c r="N105" s="51">
        <v>1.1000000000000001</v>
      </c>
      <c r="O105" s="51">
        <f t="shared" si="136"/>
        <v>523.41696000000013</v>
      </c>
      <c r="P105" s="51">
        <f t="shared" si="137"/>
        <v>1.85</v>
      </c>
      <c r="Q105" s="101">
        <f t="shared" si="138"/>
        <v>880.29216000000008</v>
      </c>
      <c r="R105" s="41"/>
      <c r="S105" s="41"/>
    </row>
    <row r="106" spans="1:19">
      <c r="A106" s="63">
        <f>IF(F106&lt;&gt;"",1+MAX($A$2:A105),"")</f>
        <v>78</v>
      </c>
      <c r="B106" s="80"/>
      <c r="C106" s="81"/>
      <c r="D106" s="82" t="s">
        <v>161</v>
      </c>
      <c r="E106" s="47">
        <f>24/1.5*0.376</f>
        <v>6.016</v>
      </c>
      <c r="F106" s="46">
        <v>0.1</v>
      </c>
      <c r="G106" s="47">
        <f t="shared" si="132"/>
        <v>6.6176000000000004</v>
      </c>
      <c r="H106" s="60" t="s">
        <v>47</v>
      </c>
      <c r="I106" s="48">
        <v>1.4999999999999999E-2</v>
      </c>
      <c r="J106" s="49">
        <f t="shared" si="133"/>
        <v>9.9264000000000005E-2</v>
      </c>
      <c r="K106" s="50">
        <v>50</v>
      </c>
      <c r="L106" s="51">
        <f t="shared" si="134"/>
        <v>0.75</v>
      </c>
      <c r="M106" s="51">
        <f t="shared" si="135"/>
        <v>4.9632000000000005</v>
      </c>
      <c r="N106" s="51">
        <v>1.1000000000000001</v>
      </c>
      <c r="O106" s="51">
        <f t="shared" si="136"/>
        <v>7.2793600000000014</v>
      </c>
      <c r="P106" s="51">
        <f t="shared" si="137"/>
        <v>1.85</v>
      </c>
      <c r="Q106" s="101">
        <f t="shared" si="138"/>
        <v>12.242560000000001</v>
      </c>
      <c r="R106" s="41"/>
      <c r="S106" s="41"/>
    </row>
    <row r="107" spans="1:19">
      <c r="A107" s="63">
        <f>IF(F107&lt;&gt;"",1+MAX($A$2:A106),"")</f>
        <v>79</v>
      </c>
      <c r="B107" s="80"/>
      <c r="C107" s="81"/>
      <c r="D107" s="82" t="s">
        <v>50</v>
      </c>
      <c r="E107" s="47">
        <f>E104*1.25</f>
        <v>8.1444444444444457</v>
      </c>
      <c r="F107" s="46">
        <v>0.1</v>
      </c>
      <c r="G107" s="47">
        <f t="shared" si="132"/>
        <v>8.9588888888888896</v>
      </c>
      <c r="H107" s="60" t="s">
        <v>46</v>
      </c>
      <c r="I107" s="48">
        <v>1.1000000000000001</v>
      </c>
      <c r="J107" s="49">
        <f t="shared" si="133"/>
        <v>9.8547777777777785</v>
      </c>
      <c r="K107" s="50">
        <v>50</v>
      </c>
      <c r="L107" s="51">
        <f t="shared" si="134"/>
        <v>55.000000000000007</v>
      </c>
      <c r="M107" s="51">
        <f t="shared" si="135"/>
        <v>492.73888888888894</v>
      </c>
      <c r="N107" s="51">
        <v>0</v>
      </c>
      <c r="O107" s="51">
        <f t="shared" si="136"/>
        <v>0</v>
      </c>
      <c r="P107" s="51">
        <f t="shared" si="137"/>
        <v>55.000000000000007</v>
      </c>
      <c r="Q107" s="101">
        <f t="shared" si="138"/>
        <v>492.73888888888899</v>
      </c>
      <c r="R107" s="41"/>
      <c r="S107" s="41"/>
    </row>
    <row r="108" spans="1:19">
      <c r="A108" s="63">
        <f>IF(F108&lt;&gt;"",1+MAX($A$2:A107),"")</f>
        <v>80</v>
      </c>
      <c r="B108" s="80"/>
      <c r="C108" s="81"/>
      <c r="D108" s="82" t="s">
        <v>48</v>
      </c>
      <c r="E108" s="47">
        <f>24*7.33*2</f>
        <v>351.84000000000003</v>
      </c>
      <c r="F108" s="46">
        <v>0.1</v>
      </c>
      <c r="G108" s="47">
        <f t="shared" si="132"/>
        <v>387.02400000000006</v>
      </c>
      <c r="H108" s="60" t="s">
        <v>49</v>
      </c>
      <c r="I108" s="48">
        <v>0.09</v>
      </c>
      <c r="J108" s="49">
        <f t="shared" si="133"/>
        <v>34.832160000000002</v>
      </c>
      <c r="K108" s="50">
        <v>50</v>
      </c>
      <c r="L108" s="51">
        <f t="shared" si="134"/>
        <v>4.5</v>
      </c>
      <c r="M108" s="51">
        <f t="shared" si="135"/>
        <v>1741.6080000000002</v>
      </c>
      <c r="N108" s="51">
        <v>0</v>
      </c>
      <c r="O108" s="51">
        <f t="shared" si="136"/>
        <v>0</v>
      </c>
      <c r="P108" s="51">
        <f t="shared" si="137"/>
        <v>4.5</v>
      </c>
      <c r="Q108" s="101">
        <f t="shared" si="138"/>
        <v>1741.6080000000002</v>
      </c>
      <c r="R108" s="41"/>
      <c r="S108" s="41"/>
    </row>
    <row r="109" spans="1:19">
      <c r="A109" s="63" t="str">
        <f>IF(F109&lt;&gt;"",1+MAX($A$2:A108),"")</f>
        <v/>
      </c>
      <c r="B109" s="80"/>
      <c r="C109" s="81"/>
      <c r="D109" s="82"/>
      <c r="E109" s="47"/>
      <c r="F109" s="46"/>
      <c r="G109" s="47"/>
      <c r="H109" s="60"/>
      <c r="I109" s="48"/>
      <c r="J109" s="49"/>
      <c r="K109" s="50"/>
      <c r="L109" s="51"/>
      <c r="M109" s="51"/>
      <c r="N109" s="51"/>
      <c r="O109" s="51"/>
      <c r="P109" s="51"/>
      <c r="Q109" s="101"/>
      <c r="R109" s="41"/>
      <c r="S109" s="41"/>
    </row>
    <row r="110" spans="1:19">
      <c r="A110" s="63">
        <f>IF(F110&lt;&gt;"",1+MAX($A$2:A109),"")</f>
        <v>81</v>
      </c>
      <c r="B110" s="80"/>
      <c r="C110" s="81"/>
      <c r="D110" s="209" t="s">
        <v>168</v>
      </c>
      <c r="E110" s="47">
        <f>83*1.33*7.33/27</f>
        <v>29.968840740740742</v>
      </c>
      <c r="F110" s="46">
        <v>0.1</v>
      </c>
      <c r="G110" s="47">
        <f t="shared" ref="G110:G114" si="139">(F110*E110)+E110</f>
        <v>32.96572481481482</v>
      </c>
      <c r="H110" s="60" t="s">
        <v>46</v>
      </c>
      <c r="I110" s="48">
        <v>3</v>
      </c>
      <c r="J110" s="49">
        <f t="shared" ref="J110:J114" si="140">+I110*G110</f>
        <v>98.89717444444446</v>
      </c>
      <c r="K110" s="50">
        <v>50</v>
      </c>
      <c r="L110" s="51">
        <f t="shared" ref="L110:L114" si="141">I110*K110</f>
        <v>150</v>
      </c>
      <c r="M110" s="51">
        <f t="shared" ref="M110:M114" si="142">K110*J110</f>
        <v>4944.8587222222232</v>
      </c>
      <c r="N110" s="51">
        <v>230</v>
      </c>
      <c r="O110" s="51">
        <f t="shared" ref="O110:O114" si="143">N110*G110</f>
        <v>7582.1167074074083</v>
      </c>
      <c r="P110" s="51">
        <f t="shared" ref="P110:P114" si="144">(I110*K110)+N110</f>
        <v>380</v>
      </c>
      <c r="Q110" s="101">
        <f t="shared" ref="Q110:Q114" si="145">P110*G110</f>
        <v>12526.975429629632</v>
      </c>
      <c r="R110" s="41"/>
      <c r="S110" s="41"/>
    </row>
    <row r="111" spans="1:19">
      <c r="A111" s="63">
        <f>IF(F111&lt;&gt;"",1+MAX($A$2:A110),"")</f>
        <v>82</v>
      </c>
      <c r="B111" s="80"/>
      <c r="C111" s="81"/>
      <c r="D111" s="82" t="s">
        <v>166</v>
      </c>
      <c r="E111" s="47">
        <f>83*12*1.502</f>
        <v>1495.992</v>
      </c>
      <c r="F111" s="46">
        <v>0.1</v>
      </c>
      <c r="G111" s="47">
        <f t="shared" si="139"/>
        <v>1645.5911999999998</v>
      </c>
      <c r="H111" s="60" t="s">
        <v>47</v>
      </c>
      <c r="I111" s="48">
        <v>1.4999999999999999E-2</v>
      </c>
      <c r="J111" s="49">
        <f t="shared" si="140"/>
        <v>24.683867999999997</v>
      </c>
      <c r="K111" s="50">
        <v>50</v>
      </c>
      <c r="L111" s="51">
        <f t="shared" si="141"/>
        <v>0.75</v>
      </c>
      <c r="M111" s="51">
        <f t="shared" si="142"/>
        <v>1234.1933999999999</v>
      </c>
      <c r="N111" s="51">
        <v>1.1000000000000001</v>
      </c>
      <c r="O111" s="51">
        <f t="shared" si="143"/>
        <v>1810.15032</v>
      </c>
      <c r="P111" s="51">
        <f t="shared" si="144"/>
        <v>1.85</v>
      </c>
      <c r="Q111" s="101">
        <f t="shared" si="145"/>
        <v>3044.3437199999998</v>
      </c>
      <c r="R111" s="41"/>
      <c r="S111" s="41"/>
    </row>
    <row r="112" spans="1:19">
      <c r="A112" s="63">
        <f>IF(F112&lt;&gt;"",1+MAX($A$2:A111),"")</f>
        <v>83</v>
      </c>
      <c r="B112" s="80"/>
      <c r="C112" s="81"/>
      <c r="D112" s="82" t="s">
        <v>161</v>
      </c>
      <c r="E112" s="47">
        <f>83/1.5*0.376</f>
        <v>20.805333333333333</v>
      </c>
      <c r="F112" s="46">
        <v>0.1</v>
      </c>
      <c r="G112" s="47">
        <f t="shared" si="139"/>
        <v>22.885866666666665</v>
      </c>
      <c r="H112" s="60" t="s">
        <v>47</v>
      </c>
      <c r="I112" s="48">
        <v>1.4999999999999999E-2</v>
      </c>
      <c r="J112" s="49">
        <f t="shared" si="140"/>
        <v>0.34328799999999998</v>
      </c>
      <c r="K112" s="50">
        <v>50</v>
      </c>
      <c r="L112" s="51">
        <f t="shared" si="141"/>
        <v>0.75</v>
      </c>
      <c r="M112" s="51">
        <f t="shared" si="142"/>
        <v>17.164400000000001</v>
      </c>
      <c r="N112" s="51">
        <v>1.1000000000000001</v>
      </c>
      <c r="O112" s="51">
        <f t="shared" si="143"/>
        <v>25.174453333333332</v>
      </c>
      <c r="P112" s="51">
        <f t="shared" si="144"/>
        <v>1.85</v>
      </c>
      <c r="Q112" s="101">
        <f t="shared" si="145"/>
        <v>42.338853333333333</v>
      </c>
      <c r="R112" s="41"/>
      <c r="S112" s="41"/>
    </row>
    <row r="113" spans="1:19">
      <c r="A113" s="63">
        <f>IF(F113&lt;&gt;"",1+MAX($A$2:A112),"")</f>
        <v>84</v>
      </c>
      <c r="B113" s="80"/>
      <c r="C113" s="81"/>
      <c r="D113" s="82" t="s">
        <v>50</v>
      </c>
      <c r="E113" s="47">
        <f>E110*1.25</f>
        <v>37.461050925925925</v>
      </c>
      <c r="F113" s="46">
        <v>0.1</v>
      </c>
      <c r="G113" s="47">
        <f t="shared" si="139"/>
        <v>41.207156018518518</v>
      </c>
      <c r="H113" s="60" t="s">
        <v>46</v>
      </c>
      <c r="I113" s="48">
        <v>1.1000000000000001</v>
      </c>
      <c r="J113" s="49">
        <f t="shared" si="140"/>
        <v>45.327871620370374</v>
      </c>
      <c r="K113" s="50">
        <v>50</v>
      </c>
      <c r="L113" s="51">
        <f t="shared" si="141"/>
        <v>55.000000000000007</v>
      </c>
      <c r="M113" s="51">
        <f t="shared" si="142"/>
        <v>2266.3935810185185</v>
      </c>
      <c r="N113" s="51">
        <v>0</v>
      </c>
      <c r="O113" s="51">
        <f t="shared" si="143"/>
        <v>0</v>
      </c>
      <c r="P113" s="51">
        <f t="shared" si="144"/>
        <v>55.000000000000007</v>
      </c>
      <c r="Q113" s="101">
        <f t="shared" si="145"/>
        <v>2266.3935810185189</v>
      </c>
      <c r="R113" s="41"/>
      <c r="S113" s="41"/>
    </row>
    <row r="114" spans="1:19">
      <c r="A114" s="63">
        <f>IF(F114&lt;&gt;"",1+MAX($A$2:A113),"")</f>
        <v>85</v>
      </c>
      <c r="B114" s="80"/>
      <c r="C114" s="81"/>
      <c r="D114" s="82" t="s">
        <v>48</v>
      </c>
      <c r="E114" s="47">
        <f>83*7.33*2</f>
        <v>1216.78</v>
      </c>
      <c r="F114" s="46">
        <v>0.1</v>
      </c>
      <c r="G114" s="47">
        <f t="shared" si="139"/>
        <v>1338.4580000000001</v>
      </c>
      <c r="H114" s="60" t="s">
        <v>49</v>
      </c>
      <c r="I114" s="48">
        <v>0.09</v>
      </c>
      <c r="J114" s="49">
        <f t="shared" si="140"/>
        <v>120.46122</v>
      </c>
      <c r="K114" s="50">
        <v>50</v>
      </c>
      <c r="L114" s="51">
        <f t="shared" si="141"/>
        <v>4.5</v>
      </c>
      <c r="M114" s="51">
        <f t="shared" si="142"/>
        <v>6023.0609999999997</v>
      </c>
      <c r="N114" s="51">
        <v>0</v>
      </c>
      <c r="O114" s="51">
        <f t="shared" si="143"/>
        <v>0</v>
      </c>
      <c r="P114" s="51">
        <f t="shared" si="144"/>
        <v>4.5</v>
      </c>
      <c r="Q114" s="101">
        <f t="shared" si="145"/>
        <v>6023.0610000000006</v>
      </c>
      <c r="R114" s="41"/>
      <c r="S114" s="41"/>
    </row>
    <row r="115" spans="1:19">
      <c r="A115" s="63" t="str">
        <f>IF(F115&lt;&gt;"",1+MAX($A$2:A114),"")</f>
        <v/>
      </c>
      <c r="B115" s="80"/>
      <c r="C115" s="81"/>
      <c r="D115" s="82"/>
      <c r="E115" s="47"/>
      <c r="F115" s="46"/>
      <c r="G115" s="47"/>
      <c r="H115" s="60"/>
      <c r="I115" s="48"/>
      <c r="J115" s="49"/>
      <c r="K115" s="50"/>
      <c r="L115" s="51"/>
      <c r="M115" s="51"/>
      <c r="N115" s="51"/>
      <c r="O115" s="51"/>
      <c r="P115" s="51"/>
      <c r="Q115" s="101"/>
      <c r="R115" s="41"/>
      <c r="S115" s="41"/>
    </row>
    <row r="116" spans="1:19">
      <c r="A116" s="63">
        <f>IF(F116&lt;&gt;"",1+MAX($A$2:A115),"")</f>
        <v>86</v>
      </c>
      <c r="B116" s="80"/>
      <c r="C116" s="81"/>
      <c r="D116" s="209" t="s">
        <v>169</v>
      </c>
      <c r="E116" s="47">
        <f>151*2*2/27</f>
        <v>22.37037037037037</v>
      </c>
      <c r="F116" s="46">
        <v>0.1</v>
      </c>
      <c r="G116" s="47">
        <f t="shared" ref="G116:G120" si="146">(F116*E116)+E116</f>
        <v>24.607407407407408</v>
      </c>
      <c r="H116" s="60" t="s">
        <v>46</v>
      </c>
      <c r="I116" s="48">
        <v>3</v>
      </c>
      <c r="J116" s="49">
        <f t="shared" ref="J116:J120" si="147">+I116*G116</f>
        <v>73.822222222222223</v>
      </c>
      <c r="K116" s="50">
        <v>50</v>
      </c>
      <c r="L116" s="51">
        <f t="shared" ref="L116:L120" si="148">I116*K116</f>
        <v>150</v>
      </c>
      <c r="M116" s="51">
        <f t="shared" ref="M116:M120" si="149">K116*J116</f>
        <v>3691.1111111111113</v>
      </c>
      <c r="N116" s="51">
        <v>230</v>
      </c>
      <c r="O116" s="51">
        <f t="shared" ref="O116:O120" si="150">N116*G116</f>
        <v>5659.7037037037035</v>
      </c>
      <c r="P116" s="51">
        <f t="shared" ref="P116:P120" si="151">(I116*K116)+N116</f>
        <v>380</v>
      </c>
      <c r="Q116" s="101">
        <f t="shared" ref="Q116:Q120" si="152">P116*G116</f>
        <v>9350.8148148148157</v>
      </c>
      <c r="R116" s="41"/>
      <c r="S116" s="41"/>
    </row>
    <row r="117" spans="1:19">
      <c r="A117" s="63">
        <f>IF(F117&lt;&gt;"",1+MAX($A$2:A116),"")</f>
        <v>87</v>
      </c>
      <c r="B117" s="80"/>
      <c r="C117" s="81"/>
      <c r="D117" s="82" t="s">
        <v>170</v>
      </c>
      <c r="E117" s="47">
        <f>151*8*1.502</f>
        <v>1814.4159999999999</v>
      </c>
      <c r="F117" s="46">
        <v>0.1</v>
      </c>
      <c r="G117" s="47">
        <f t="shared" si="146"/>
        <v>1995.8575999999998</v>
      </c>
      <c r="H117" s="60" t="s">
        <v>47</v>
      </c>
      <c r="I117" s="48">
        <v>1.4999999999999999E-2</v>
      </c>
      <c r="J117" s="49">
        <f t="shared" si="147"/>
        <v>29.937863999999998</v>
      </c>
      <c r="K117" s="50">
        <v>50</v>
      </c>
      <c r="L117" s="51">
        <f t="shared" si="148"/>
        <v>0.75</v>
      </c>
      <c r="M117" s="51">
        <f t="shared" si="149"/>
        <v>1496.8932</v>
      </c>
      <c r="N117" s="51">
        <v>1.1000000000000001</v>
      </c>
      <c r="O117" s="51">
        <f t="shared" si="150"/>
        <v>2195.4433599999998</v>
      </c>
      <c r="P117" s="51">
        <f t="shared" si="151"/>
        <v>1.85</v>
      </c>
      <c r="Q117" s="101">
        <f t="shared" si="152"/>
        <v>3692.3365599999997</v>
      </c>
      <c r="R117" s="41"/>
      <c r="S117" s="41"/>
    </row>
    <row r="118" spans="1:19">
      <c r="A118" s="63">
        <f>IF(F118&lt;&gt;"",1+MAX($A$2:A117),"")</f>
        <v>88</v>
      </c>
      <c r="B118" s="80"/>
      <c r="C118" s="81"/>
      <c r="D118" s="82" t="s">
        <v>161</v>
      </c>
      <c r="E118" s="47">
        <f>151/1.5*0.376</f>
        <v>37.850666666666669</v>
      </c>
      <c r="F118" s="46">
        <v>0.1</v>
      </c>
      <c r="G118" s="47">
        <f t="shared" si="146"/>
        <v>41.635733333333334</v>
      </c>
      <c r="H118" s="60" t="s">
        <v>47</v>
      </c>
      <c r="I118" s="48">
        <v>1.4999999999999999E-2</v>
      </c>
      <c r="J118" s="49">
        <f t="shared" si="147"/>
        <v>0.62453599999999998</v>
      </c>
      <c r="K118" s="50">
        <v>50</v>
      </c>
      <c r="L118" s="51">
        <f t="shared" si="148"/>
        <v>0.75</v>
      </c>
      <c r="M118" s="51">
        <f t="shared" si="149"/>
        <v>31.226799999999997</v>
      </c>
      <c r="N118" s="51">
        <v>1.1000000000000001</v>
      </c>
      <c r="O118" s="51">
        <f t="shared" si="150"/>
        <v>45.799306666666673</v>
      </c>
      <c r="P118" s="51">
        <f t="shared" si="151"/>
        <v>1.85</v>
      </c>
      <c r="Q118" s="101">
        <f t="shared" si="152"/>
        <v>77.026106666666678</v>
      </c>
      <c r="R118" s="41"/>
      <c r="S118" s="41"/>
    </row>
    <row r="119" spans="1:19">
      <c r="A119" s="63">
        <f>IF(F119&lt;&gt;"",1+MAX($A$2:A118),"")</f>
        <v>89</v>
      </c>
      <c r="B119" s="80"/>
      <c r="C119" s="81"/>
      <c r="D119" s="82" t="s">
        <v>50</v>
      </c>
      <c r="E119" s="47">
        <f>E116*1.25</f>
        <v>27.962962962962962</v>
      </c>
      <c r="F119" s="46">
        <v>0.1</v>
      </c>
      <c r="G119" s="47">
        <f t="shared" si="146"/>
        <v>30.75925925925926</v>
      </c>
      <c r="H119" s="60" t="s">
        <v>46</v>
      </c>
      <c r="I119" s="48">
        <v>1.1000000000000001</v>
      </c>
      <c r="J119" s="49">
        <f t="shared" si="147"/>
        <v>33.835185185185189</v>
      </c>
      <c r="K119" s="50">
        <v>50</v>
      </c>
      <c r="L119" s="51">
        <f t="shared" si="148"/>
        <v>55.000000000000007</v>
      </c>
      <c r="M119" s="51">
        <f t="shared" si="149"/>
        <v>1691.7592592592594</v>
      </c>
      <c r="N119" s="51">
        <v>0</v>
      </c>
      <c r="O119" s="51">
        <f t="shared" si="150"/>
        <v>0</v>
      </c>
      <c r="P119" s="51">
        <f t="shared" si="151"/>
        <v>55.000000000000007</v>
      </c>
      <c r="Q119" s="101">
        <f t="shared" si="152"/>
        <v>1691.7592592592596</v>
      </c>
      <c r="R119" s="41"/>
      <c r="S119" s="41"/>
    </row>
    <row r="120" spans="1:19">
      <c r="A120" s="63">
        <f>IF(F120&lt;&gt;"",1+MAX($A$2:A119),"")</f>
        <v>90</v>
      </c>
      <c r="B120" s="80"/>
      <c r="C120" s="81"/>
      <c r="D120" s="82" t="s">
        <v>48</v>
      </c>
      <c r="E120" s="47">
        <f>151*2*2</f>
        <v>604</v>
      </c>
      <c r="F120" s="46">
        <v>0.1</v>
      </c>
      <c r="G120" s="47">
        <f t="shared" si="146"/>
        <v>664.4</v>
      </c>
      <c r="H120" s="60" t="s">
        <v>49</v>
      </c>
      <c r="I120" s="48">
        <v>0.09</v>
      </c>
      <c r="J120" s="49">
        <f t="shared" si="147"/>
        <v>59.795999999999992</v>
      </c>
      <c r="K120" s="50">
        <v>50</v>
      </c>
      <c r="L120" s="51">
        <f t="shared" si="148"/>
        <v>4.5</v>
      </c>
      <c r="M120" s="51">
        <f t="shared" si="149"/>
        <v>2989.7999999999997</v>
      </c>
      <c r="N120" s="51">
        <v>0</v>
      </c>
      <c r="O120" s="51">
        <f t="shared" si="150"/>
        <v>0</v>
      </c>
      <c r="P120" s="51">
        <f t="shared" si="151"/>
        <v>4.5</v>
      </c>
      <c r="Q120" s="101">
        <f t="shared" si="152"/>
        <v>2989.7999999999997</v>
      </c>
      <c r="R120" s="41"/>
      <c r="S120" s="41"/>
    </row>
    <row r="121" spans="1:19">
      <c r="A121" s="63" t="str">
        <f>IF(F121&lt;&gt;"",1+MAX($A$2:A120),"")</f>
        <v/>
      </c>
      <c r="B121" s="80"/>
      <c r="C121" s="81"/>
      <c r="D121" s="82"/>
      <c r="E121" s="47"/>
      <c r="F121" s="46"/>
      <c r="G121" s="47"/>
      <c r="H121" s="60"/>
      <c r="I121" s="48"/>
      <c r="J121" s="49"/>
      <c r="K121" s="50"/>
      <c r="L121" s="51"/>
      <c r="M121" s="51"/>
      <c r="N121" s="51"/>
      <c r="O121" s="51"/>
      <c r="P121" s="51"/>
      <c r="Q121" s="101"/>
      <c r="R121" s="41"/>
      <c r="S121" s="41"/>
    </row>
    <row r="122" spans="1:19" ht="18" customHeight="1">
      <c r="A122" s="63" t="str">
        <f>IF(F122&lt;&gt;"",1+MAX($A$2:A121),"")</f>
        <v/>
      </c>
      <c r="B122" s="55"/>
      <c r="C122" s="67"/>
      <c r="D122" s="111" t="s">
        <v>171</v>
      </c>
      <c r="E122" s="76"/>
      <c r="F122" s="77"/>
      <c r="G122" s="47"/>
      <c r="H122" s="47"/>
      <c r="I122" s="78"/>
      <c r="J122" s="47"/>
      <c r="K122" s="61"/>
      <c r="L122" s="61"/>
      <c r="M122" s="61"/>
      <c r="N122" s="61"/>
      <c r="O122" s="61"/>
      <c r="P122" s="61"/>
      <c r="Q122" s="79"/>
      <c r="R122" s="41"/>
      <c r="S122" s="41"/>
    </row>
    <row r="123" spans="1:19">
      <c r="A123" s="63">
        <f>IF(F123&lt;&gt;"",1+MAX($A$2:A122),"")</f>
        <v>91</v>
      </c>
      <c r="B123" s="80"/>
      <c r="C123" s="81"/>
      <c r="D123" s="209" t="s">
        <v>172</v>
      </c>
      <c r="E123" s="47">
        <f>1035*0.5*0.25/27</f>
        <v>4.791666666666667</v>
      </c>
      <c r="F123" s="46">
        <v>0.1</v>
      </c>
      <c r="G123" s="47">
        <f t="shared" ref="G123:G127" si="153">(F123*E123)+E123</f>
        <v>5.2708333333333339</v>
      </c>
      <c r="H123" s="60" t="s">
        <v>46</v>
      </c>
      <c r="I123" s="48">
        <v>3</v>
      </c>
      <c r="J123" s="49">
        <f t="shared" ref="J123:J127" si="154">+I123*G123</f>
        <v>15.812500000000002</v>
      </c>
      <c r="K123" s="50">
        <v>50</v>
      </c>
      <c r="L123" s="51">
        <f t="shared" ref="L123:L127" si="155">I123*K123</f>
        <v>150</v>
      </c>
      <c r="M123" s="51">
        <f t="shared" ref="M123:M127" si="156">K123*J123</f>
        <v>790.62500000000011</v>
      </c>
      <c r="N123" s="51">
        <v>230</v>
      </c>
      <c r="O123" s="51">
        <f t="shared" ref="O123:O127" si="157">N123*G123</f>
        <v>1212.2916666666667</v>
      </c>
      <c r="P123" s="51">
        <f t="shared" ref="P123:P127" si="158">(I123*K123)+N123</f>
        <v>380</v>
      </c>
      <c r="Q123" s="101">
        <f t="shared" ref="Q123:Q127" si="159">P123*G123</f>
        <v>2002.916666666667</v>
      </c>
      <c r="R123" s="41"/>
      <c r="S123" s="41"/>
    </row>
    <row r="124" spans="1:19">
      <c r="A124" s="63">
        <f>IF(F124&lt;&gt;"",1+MAX($A$2:A123),"")</f>
        <v>92</v>
      </c>
      <c r="B124" s="80"/>
      <c r="C124" s="81"/>
      <c r="D124" s="82" t="s">
        <v>173</v>
      </c>
      <c r="E124" s="47">
        <f>1035*1*1.043</f>
        <v>1079.5049999999999</v>
      </c>
      <c r="F124" s="46">
        <v>0.1</v>
      </c>
      <c r="G124" s="47">
        <f t="shared" si="153"/>
        <v>1187.4554999999998</v>
      </c>
      <c r="H124" s="60" t="s">
        <v>47</v>
      </c>
      <c r="I124" s="48">
        <v>1.4999999999999999E-2</v>
      </c>
      <c r="J124" s="49">
        <f t="shared" si="154"/>
        <v>17.811832499999998</v>
      </c>
      <c r="K124" s="50">
        <v>50</v>
      </c>
      <c r="L124" s="51">
        <f t="shared" si="155"/>
        <v>0.75</v>
      </c>
      <c r="M124" s="51">
        <f t="shared" si="156"/>
        <v>890.59162499999991</v>
      </c>
      <c r="N124" s="51">
        <v>1.1000000000000001</v>
      </c>
      <c r="O124" s="51">
        <f t="shared" si="157"/>
        <v>1306.2010499999999</v>
      </c>
      <c r="P124" s="51">
        <f t="shared" si="158"/>
        <v>1.85</v>
      </c>
      <c r="Q124" s="101">
        <f t="shared" si="159"/>
        <v>2196.7926749999997</v>
      </c>
      <c r="R124" s="41"/>
      <c r="S124" s="41"/>
    </row>
    <row r="125" spans="1:19">
      <c r="A125" s="63">
        <f>IF(F125&lt;&gt;"",1+MAX($A$2:A124),"")</f>
        <v>93</v>
      </c>
      <c r="B125" s="80"/>
      <c r="C125" s="81"/>
      <c r="D125" s="82" t="s">
        <v>174</v>
      </c>
      <c r="E125" s="47">
        <f>1035/2*0.668</f>
        <v>345.69</v>
      </c>
      <c r="F125" s="46">
        <v>0.1</v>
      </c>
      <c r="G125" s="47">
        <f t="shared" si="153"/>
        <v>380.25900000000001</v>
      </c>
      <c r="H125" s="60" t="s">
        <v>47</v>
      </c>
      <c r="I125" s="48">
        <v>1.4999999999999999E-2</v>
      </c>
      <c r="J125" s="49">
        <f t="shared" si="154"/>
        <v>5.7038849999999996</v>
      </c>
      <c r="K125" s="50">
        <v>50</v>
      </c>
      <c r="L125" s="51">
        <f t="shared" si="155"/>
        <v>0.75</v>
      </c>
      <c r="M125" s="51">
        <f t="shared" si="156"/>
        <v>285.19425000000001</v>
      </c>
      <c r="N125" s="51">
        <v>1.1000000000000001</v>
      </c>
      <c r="O125" s="51">
        <f t="shared" si="157"/>
        <v>418.28490000000005</v>
      </c>
      <c r="P125" s="51">
        <f t="shared" si="158"/>
        <v>1.85</v>
      </c>
      <c r="Q125" s="101">
        <f t="shared" si="159"/>
        <v>703.47915</v>
      </c>
      <c r="R125" s="41"/>
      <c r="S125" s="41"/>
    </row>
    <row r="126" spans="1:19">
      <c r="A126" s="63">
        <f>IF(F126&lt;&gt;"",1+MAX($A$2:A125),"")</f>
        <v>94</v>
      </c>
      <c r="B126" s="80"/>
      <c r="C126" s="81"/>
      <c r="D126" s="82" t="s">
        <v>50</v>
      </c>
      <c r="E126" s="47">
        <f>E123*1.25</f>
        <v>5.9895833333333339</v>
      </c>
      <c r="F126" s="46">
        <v>0.1</v>
      </c>
      <c r="G126" s="47">
        <f t="shared" si="153"/>
        <v>6.588541666666667</v>
      </c>
      <c r="H126" s="60" t="s">
        <v>46</v>
      </c>
      <c r="I126" s="48">
        <v>1.1000000000000001</v>
      </c>
      <c r="J126" s="49">
        <f t="shared" si="154"/>
        <v>7.2473958333333339</v>
      </c>
      <c r="K126" s="50">
        <v>50</v>
      </c>
      <c r="L126" s="51">
        <f t="shared" si="155"/>
        <v>55.000000000000007</v>
      </c>
      <c r="M126" s="51">
        <f t="shared" si="156"/>
        <v>362.36979166666669</v>
      </c>
      <c r="N126" s="51">
        <v>0</v>
      </c>
      <c r="O126" s="51">
        <f t="shared" si="157"/>
        <v>0</v>
      </c>
      <c r="P126" s="51">
        <f t="shared" si="158"/>
        <v>55.000000000000007</v>
      </c>
      <c r="Q126" s="101">
        <f t="shared" si="159"/>
        <v>362.36979166666674</v>
      </c>
      <c r="R126" s="41"/>
      <c r="S126" s="41"/>
    </row>
    <row r="127" spans="1:19">
      <c r="A127" s="63">
        <f>IF(F127&lt;&gt;"",1+MAX($A$2:A126),"")</f>
        <v>95</v>
      </c>
      <c r="B127" s="80"/>
      <c r="C127" s="81"/>
      <c r="D127" s="82" t="s">
        <v>48</v>
      </c>
      <c r="E127" s="47">
        <f>1035*0.25*2</f>
        <v>517.5</v>
      </c>
      <c r="F127" s="46">
        <v>0.1</v>
      </c>
      <c r="G127" s="47">
        <f t="shared" si="153"/>
        <v>569.25</v>
      </c>
      <c r="H127" s="60" t="s">
        <v>49</v>
      </c>
      <c r="I127" s="48">
        <v>0.09</v>
      </c>
      <c r="J127" s="49">
        <f t="shared" si="154"/>
        <v>51.232499999999995</v>
      </c>
      <c r="K127" s="50">
        <v>50</v>
      </c>
      <c r="L127" s="51">
        <f t="shared" si="155"/>
        <v>4.5</v>
      </c>
      <c r="M127" s="51">
        <f t="shared" si="156"/>
        <v>2561.6249999999995</v>
      </c>
      <c r="N127" s="51">
        <v>0</v>
      </c>
      <c r="O127" s="51">
        <f t="shared" si="157"/>
        <v>0</v>
      </c>
      <c r="P127" s="51">
        <f t="shared" si="158"/>
        <v>4.5</v>
      </c>
      <c r="Q127" s="101">
        <f t="shared" si="159"/>
        <v>2561.625</v>
      </c>
      <c r="R127" s="41"/>
      <c r="S127" s="41"/>
    </row>
    <row r="128" spans="1:19">
      <c r="A128" s="63" t="str">
        <f>IF(F128&lt;&gt;"",1+MAX($A$2:A127),"")</f>
        <v/>
      </c>
      <c r="B128" s="80"/>
      <c r="C128" s="81"/>
      <c r="D128" s="82"/>
      <c r="E128" s="47"/>
      <c r="F128" s="46"/>
      <c r="G128" s="47"/>
      <c r="H128" s="60"/>
      <c r="I128" s="48"/>
      <c r="J128" s="49"/>
      <c r="K128" s="50"/>
      <c r="L128" s="51"/>
      <c r="M128" s="51"/>
      <c r="N128" s="51"/>
      <c r="O128" s="51"/>
      <c r="P128" s="51"/>
      <c r="Q128" s="101"/>
      <c r="R128" s="41"/>
      <c r="S128" s="41"/>
    </row>
    <row r="129" spans="1:19" ht="18" customHeight="1">
      <c r="A129" s="63" t="str">
        <f>IF(F129&lt;&gt;"",1+MAX($A$2:A128),"")</f>
        <v/>
      </c>
      <c r="B129" s="55"/>
      <c r="C129" s="67"/>
      <c r="D129" s="111" t="s">
        <v>175</v>
      </c>
      <c r="E129" s="76"/>
      <c r="F129" s="77"/>
      <c r="G129" s="47"/>
      <c r="H129" s="47"/>
      <c r="I129" s="78"/>
      <c r="J129" s="47"/>
      <c r="K129" s="61"/>
      <c r="L129" s="61"/>
      <c r="M129" s="61"/>
      <c r="N129" s="61"/>
      <c r="O129" s="61"/>
      <c r="P129" s="61"/>
      <c r="Q129" s="79"/>
      <c r="R129" s="41"/>
      <c r="S129" s="41"/>
    </row>
    <row r="130" spans="1:19">
      <c r="A130" s="63">
        <f>IF(F130&lt;&gt;"",1+MAX($A$2:A129),"")</f>
        <v>96</v>
      </c>
      <c r="B130" s="80"/>
      <c r="C130" s="81"/>
      <c r="D130" s="209" t="s">
        <v>176</v>
      </c>
      <c r="E130" s="47">
        <f>73179*0.417/27</f>
        <v>1130.2090000000001</v>
      </c>
      <c r="F130" s="46">
        <v>0.1</v>
      </c>
      <c r="G130" s="47">
        <f t="shared" ref="G130:G132" si="160">(F130*E130)+E130</f>
        <v>1243.2299</v>
      </c>
      <c r="H130" s="60" t="s">
        <v>46</v>
      </c>
      <c r="I130" s="48">
        <v>3</v>
      </c>
      <c r="J130" s="49">
        <f t="shared" ref="J130:J131" si="161">+I130*G130</f>
        <v>3729.6896999999999</v>
      </c>
      <c r="K130" s="50">
        <v>50</v>
      </c>
      <c r="L130" s="51">
        <f t="shared" ref="L130:L131" si="162">I130*K130</f>
        <v>150</v>
      </c>
      <c r="M130" s="51">
        <f t="shared" ref="M130:M131" si="163">K130*J130</f>
        <v>186484.48499999999</v>
      </c>
      <c r="N130" s="51">
        <v>230</v>
      </c>
      <c r="O130" s="51">
        <f t="shared" ref="O130:O132" si="164">N130*G130</f>
        <v>285942.87700000004</v>
      </c>
      <c r="P130" s="51">
        <f t="shared" ref="P130:P132" si="165">(I130*K130)+N130</f>
        <v>380</v>
      </c>
      <c r="Q130" s="101">
        <f t="shared" ref="Q130:Q132" si="166">P130*G130</f>
        <v>472427.36200000002</v>
      </c>
      <c r="R130" s="41"/>
      <c r="S130" s="41"/>
    </row>
    <row r="131" spans="1:19">
      <c r="A131" s="63">
        <f>IF(F131&lt;&gt;"",1+MAX($A$2:A130),"")</f>
        <v>97</v>
      </c>
      <c r="B131" s="80"/>
      <c r="C131" s="81"/>
      <c r="D131" s="82" t="s">
        <v>177</v>
      </c>
      <c r="E131" s="47">
        <f>73179/1.33*0.376</f>
        <v>20688.198496240599</v>
      </c>
      <c r="F131" s="46">
        <v>0.1</v>
      </c>
      <c r="G131" s="47">
        <f t="shared" si="160"/>
        <v>22757.018345864657</v>
      </c>
      <c r="H131" s="60" t="s">
        <v>47</v>
      </c>
      <c r="I131" s="48">
        <v>1.4999999999999999E-2</v>
      </c>
      <c r="J131" s="49">
        <f t="shared" si="161"/>
        <v>341.35527518796982</v>
      </c>
      <c r="K131" s="50">
        <v>50</v>
      </c>
      <c r="L131" s="51">
        <f t="shared" si="162"/>
        <v>0.75</v>
      </c>
      <c r="M131" s="51">
        <f t="shared" si="163"/>
        <v>17067.763759398491</v>
      </c>
      <c r="N131" s="51">
        <v>1.1000000000000001</v>
      </c>
      <c r="O131" s="51">
        <f t="shared" si="164"/>
        <v>25032.720180451124</v>
      </c>
      <c r="P131" s="51">
        <f t="shared" si="165"/>
        <v>1.85</v>
      </c>
      <c r="Q131" s="101">
        <f t="shared" si="166"/>
        <v>42100.483939849619</v>
      </c>
      <c r="R131" s="41"/>
      <c r="S131" s="41"/>
    </row>
    <row r="132" spans="1:19">
      <c r="A132" s="63">
        <f>IF(F132&lt;&gt;"",1+MAX($A$2:A131),"")</f>
        <v>98</v>
      </c>
      <c r="B132" s="80"/>
      <c r="C132" s="81"/>
      <c r="D132" s="82" t="s">
        <v>178</v>
      </c>
      <c r="E132" s="47">
        <f>73179/15*2</f>
        <v>9757.2000000000007</v>
      </c>
      <c r="F132" s="46">
        <v>0.1</v>
      </c>
      <c r="G132" s="47">
        <f t="shared" si="160"/>
        <v>10732.92</v>
      </c>
      <c r="H132" s="60" t="s">
        <v>53</v>
      </c>
      <c r="I132" s="48">
        <v>0.02</v>
      </c>
      <c r="J132" s="49">
        <f t="shared" ref="J132" si="167">+I132*G132</f>
        <v>214.6584</v>
      </c>
      <c r="K132" s="50">
        <v>50</v>
      </c>
      <c r="L132" s="51">
        <f t="shared" ref="L132" si="168">I132*K132</f>
        <v>1</v>
      </c>
      <c r="M132" s="51">
        <f t="shared" ref="M132" si="169">K132*J132</f>
        <v>10732.92</v>
      </c>
      <c r="N132" s="51">
        <v>0.55000000000000004</v>
      </c>
      <c r="O132" s="51">
        <f t="shared" si="164"/>
        <v>5903.1060000000007</v>
      </c>
      <c r="P132" s="51">
        <f t="shared" si="165"/>
        <v>1.55</v>
      </c>
      <c r="Q132" s="101">
        <f t="shared" si="166"/>
        <v>16636.026000000002</v>
      </c>
      <c r="R132" s="41"/>
      <c r="S132" s="41"/>
    </row>
    <row r="133" spans="1:19">
      <c r="A133" s="63" t="str">
        <f>IF(F133&lt;&gt;"",1+MAX($A$2:A132),"")</f>
        <v/>
      </c>
      <c r="B133" s="80"/>
      <c r="C133" s="81"/>
      <c r="D133" s="82"/>
      <c r="E133" s="47"/>
      <c r="F133" s="46"/>
      <c r="G133" s="47"/>
      <c r="H133" s="60"/>
      <c r="I133" s="48"/>
      <c r="J133" s="49"/>
      <c r="K133" s="50"/>
      <c r="L133" s="51"/>
      <c r="M133" s="51"/>
      <c r="N133" s="51"/>
      <c r="O133" s="51"/>
      <c r="P133" s="51"/>
      <c r="Q133" s="101"/>
      <c r="R133" s="41"/>
      <c r="S133" s="41"/>
    </row>
    <row r="134" spans="1:19">
      <c r="A134" s="63">
        <f>IF(F134&lt;&gt;"",1+MAX($A$2:A133),"")</f>
        <v>99</v>
      </c>
      <c r="B134" s="80"/>
      <c r="C134" s="81"/>
      <c r="D134" s="209" t="s">
        <v>179</v>
      </c>
      <c r="E134" s="47">
        <f>2398*0.5/27</f>
        <v>44.407407407407405</v>
      </c>
      <c r="F134" s="46">
        <v>0.1</v>
      </c>
      <c r="G134" s="47">
        <f t="shared" ref="G134:G136" si="170">(F134*E134)+E134</f>
        <v>48.848148148148148</v>
      </c>
      <c r="H134" s="60" t="s">
        <v>46</v>
      </c>
      <c r="I134" s="48">
        <v>3</v>
      </c>
      <c r="J134" s="49">
        <f t="shared" ref="J134:J136" si="171">+I134*G134</f>
        <v>146.54444444444445</v>
      </c>
      <c r="K134" s="50">
        <v>50</v>
      </c>
      <c r="L134" s="51">
        <f t="shared" ref="L134:L136" si="172">I134*K134</f>
        <v>150</v>
      </c>
      <c r="M134" s="51">
        <f t="shared" ref="M134:M136" si="173">K134*J134</f>
        <v>7327.2222222222226</v>
      </c>
      <c r="N134" s="51">
        <v>230</v>
      </c>
      <c r="O134" s="51">
        <f t="shared" ref="O134:O136" si="174">N134*G134</f>
        <v>11235.074074074075</v>
      </c>
      <c r="P134" s="51">
        <f t="shared" ref="P134:P136" si="175">(I134*K134)+N134</f>
        <v>380</v>
      </c>
      <c r="Q134" s="101">
        <f t="shared" ref="Q134:Q136" si="176">P134*G134</f>
        <v>18562.296296296296</v>
      </c>
      <c r="R134" s="41"/>
      <c r="S134" s="41"/>
    </row>
    <row r="135" spans="1:19">
      <c r="A135" s="63">
        <f>IF(F135&lt;&gt;"",1+MAX($A$2:A134),"")</f>
        <v>100</v>
      </c>
      <c r="B135" s="80"/>
      <c r="C135" s="81"/>
      <c r="D135" s="82" t="s">
        <v>177</v>
      </c>
      <c r="E135" s="47">
        <f>2398/1.33*0.376</f>
        <v>677.93082706766916</v>
      </c>
      <c r="F135" s="46">
        <v>0.1</v>
      </c>
      <c r="G135" s="47">
        <f t="shared" si="170"/>
        <v>745.72390977443604</v>
      </c>
      <c r="H135" s="60" t="s">
        <v>47</v>
      </c>
      <c r="I135" s="48">
        <v>1.4999999999999999E-2</v>
      </c>
      <c r="J135" s="49">
        <f t="shared" si="171"/>
        <v>11.18585864661654</v>
      </c>
      <c r="K135" s="50">
        <v>50</v>
      </c>
      <c r="L135" s="51">
        <f t="shared" si="172"/>
        <v>0.75</v>
      </c>
      <c r="M135" s="51">
        <f t="shared" si="173"/>
        <v>559.29293233082694</v>
      </c>
      <c r="N135" s="51">
        <v>1.1000000000000001</v>
      </c>
      <c r="O135" s="51">
        <f t="shared" si="174"/>
        <v>820.2963007518797</v>
      </c>
      <c r="P135" s="51">
        <f t="shared" si="175"/>
        <v>1.85</v>
      </c>
      <c r="Q135" s="101">
        <f t="shared" si="176"/>
        <v>1379.5892330827066</v>
      </c>
      <c r="R135" s="41"/>
      <c r="S135" s="41"/>
    </row>
    <row r="136" spans="1:19">
      <c r="A136" s="63">
        <f>IF(F136&lt;&gt;"",1+MAX($A$2:A135),"")</f>
        <v>101</v>
      </c>
      <c r="B136" s="80"/>
      <c r="C136" s="81"/>
      <c r="D136" s="82" t="s">
        <v>178</v>
      </c>
      <c r="E136" s="47">
        <f>2398/15*2</f>
        <v>319.73333333333335</v>
      </c>
      <c r="F136" s="46">
        <v>0.1</v>
      </c>
      <c r="G136" s="47">
        <f t="shared" si="170"/>
        <v>351.70666666666671</v>
      </c>
      <c r="H136" s="60" t="s">
        <v>53</v>
      </c>
      <c r="I136" s="48">
        <v>0.02</v>
      </c>
      <c r="J136" s="49">
        <f t="shared" si="171"/>
        <v>7.034133333333334</v>
      </c>
      <c r="K136" s="50">
        <v>50</v>
      </c>
      <c r="L136" s="51">
        <f t="shared" si="172"/>
        <v>1</v>
      </c>
      <c r="M136" s="51">
        <f t="shared" si="173"/>
        <v>351.70666666666671</v>
      </c>
      <c r="N136" s="51">
        <v>0.55000000000000004</v>
      </c>
      <c r="O136" s="51">
        <f t="shared" si="174"/>
        <v>193.43866666666671</v>
      </c>
      <c r="P136" s="51">
        <f t="shared" si="175"/>
        <v>1.55</v>
      </c>
      <c r="Q136" s="101">
        <f t="shared" si="176"/>
        <v>545.14533333333338</v>
      </c>
      <c r="R136" s="41"/>
      <c r="S136" s="41"/>
    </row>
    <row r="137" spans="1:19">
      <c r="A137" s="63" t="str">
        <f>IF(F137&lt;&gt;"",1+MAX($A$2:A136),"")</f>
        <v/>
      </c>
      <c r="B137" s="80"/>
      <c r="C137" s="81"/>
      <c r="D137" s="82"/>
      <c r="E137" s="47"/>
      <c r="F137" s="46"/>
      <c r="G137" s="47"/>
      <c r="H137" s="60"/>
      <c r="I137" s="48"/>
      <c r="J137" s="49"/>
      <c r="K137" s="50"/>
      <c r="L137" s="51"/>
      <c r="M137" s="51"/>
      <c r="N137" s="51"/>
      <c r="O137" s="51"/>
      <c r="P137" s="51"/>
      <c r="Q137" s="101"/>
      <c r="R137" s="41"/>
      <c r="S137" s="41"/>
    </row>
    <row r="138" spans="1:19">
      <c r="A138" s="63">
        <f>IF(F138&lt;&gt;"",1+MAX($A$2:A137),"")</f>
        <v>102</v>
      </c>
      <c r="B138" s="80"/>
      <c r="C138" s="81"/>
      <c r="D138" s="209" t="s">
        <v>180</v>
      </c>
      <c r="E138" s="47">
        <f>2635*0.583/27</f>
        <v>56.89648148148148</v>
      </c>
      <c r="F138" s="46">
        <v>0.1</v>
      </c>
      <c r="G138" s="47">
        <f t="shared" ref="G138:G140" si="177">(F138*E138)+E138</f>
        <v>62.586129629629625</v>
      </c>
      <c r="H138" s="60" t="s">
        <v>46</v>
      </c>
      <c r="I138" s="48">
        <v>3</v>
      </c>
      <c r="J138" s="49">
        <f t="shared" ref="J138:J140" si="178">+I138*G138</f>
        <v>187.75838888888887</v>
      </c>
      <c r="K138" s="50">
        <v>50</v>
      </c>
      <c r="L138" s="51">
        <f t="shared" ref="L138:L140" si="179">I138*K138</f>
        <v>150</v>
      </c>
      <c r="M138" s="51">
        <f t="shared" ref="M138:M140" si="180">K138*J138</f>
        <v>9387.9194444444438</v>
      </c>
      <c r="N138" s="51">
        <v>230</v>
      </c>
      <c r="O138" s="51">
        <f t="shared" ref="O138:O140" si="181">N138*G138</f>
        <v>14394.809814814813</v>
      </c>
      <c r="P138" s="51">
        <f t="shared" ref="P138:P140" si="182">(I138*K138)+N138</f>
        <v>380</v>
      </c>
      <c r="Q138" s="101">
        <f t="shared" ref="Q138:Q140" si="183">P138*G138</f>
        <v>23782.729259259257</v>
      </c>
      <c r="R138" s="41"/>
      <c r="S138" s="41"/>
    </row>
    <row r="139" spans="1:19">
      <c r="A139" s="63">
        <f>IF(F139&lt;&gt;"",1+MAX($A$2:A138),"")</f>
        <v>103</v>
      </c>
      <c r="B139" s="80"/>
      <c r="C139" s="81"/>
      <c r="D139" s="82" t="s">
        <v>181</v>
      </c>
      <c r="E139" s="47">
        <f>2635/1*0.376</f>
        <v>990.76</v>
      </c>
      <c r="F139" s="46">
        <v>0.1</v>
      </c>
      <c r="G139" s="47">
        <f t="shared" si="177"/>
        <v>1089.836</v>
      </c>
      <c r="H139" s="60" t="s">
        <v>47</v>
      </c>
      <c r="I139" s="48">
        <v>1.4999999999999999E-2</v>
      </c>
      <c r="J139" s="49">
        <f t="shared" si="178"/>
        <v>16.347539999999999</v>
      </c>
      <c r="K139" s="50">
        <v>50</v>
      </c>
      <c r="L139" s="51">
        <f t="shared" si="179"/>
        <v>0.75</v>
      </c>
      <c r="M139" s="51">
        <f t="shared" si="180"/>
        <v>817.37699999999995</v>
      </c>
      <c r="N139" s="51">
        <v>1.1000000000000001</v>
      </c>
      <c r="O139" s="51">
        <f t="shared" si="181"/>
        <v>1198.8196</v>
      </c>
      <c r="P139" s="51">
        <f t="shared" si="182"/>
        <v>1.85</v>
      </c>
      <c r="Q139" s="101">
        <f t="shared" si="183"/>
        <v>2016.1966000000002</v>
      </c>
      <c r="R139" s="41"/>
      <c r="S139" s="41"/>
    </row>
    <row r="140" spans="1:19">
      <c r="A140" s="63">
        <f>IF(F140&lt;&gt;"",1+MAX($A$2:A139),"")</f>
        <v>104</v>
      </c>
      <c r="B140" s="80"/>
      <c r="C140" s="81"/>
      <c r="D140" s="82" t="s">
        <v>178</v>
      </c>
      <c r="E140" s="47">
        <f>2635/15*2</f>
        <v>351.33333333333331</v>
      </c>
      <c r="F140" s="46">
        <v>0.1</v>
      </c>
      <c r="G140" s="47">
        <f t="shared" si="177"/>
        <v>386.46666666666664</v>
      </c>
      <c r="H140" s="60" t="s">
        <v>53</v>
      </c>
      <c r="I140" s="48">
        <v>0.02</v>
      </c>
      <c r="J140" s="49">
        <f t="shared" si="178"/>
        <v>7.7293333333333329</v>
      </c>
      <c r="K140" s="50">
        <v>50</v>
      </c>
      <c r="L140" s="51">
        <f t="shared" si="179"/>
        <v>1</v>
      </c>
      <c r="M140" s="51">
        <f t="shared" si="180"/>
        <v>386.46666666666664</v>
      </c>
      <c r="N140" s="51">
        <v>0.55000000000000004</v>
      </c>
      <c r="O140" s="51">
        <f t="shared" si="181"/>
        <v>212.55666666666667</v>
      </c>
      <c r="P140" s="51">
        <f t="shared" si="182"/>
        <v>1.55</v>
      </c>
      <c r="Q140" s="101">
        <f t="shared" si="183"/>
        <v>599.02333333333331</v>
      </c>
      <c r="R140" s="41"/>
      <c r="S140" s="41"/>
    </row>
    <row r="141" spans="1:19">
      <c r="A141" s="63" t="str">
        <f>IF(F141&lt;&gt;"",1+MAX($A$2:A140),"")</f>
        <v/>
      </c>
      <c r="B141" s="80"/>
      <c r="C141" s="81"/>
      <c r="D141" s="82"/>
      <c r="E141" s="47"/>
      <c r="F141" s="46"/>
      <c r="G141" s="47"/>
      <c r="H141" s="60"/>
      <c r="I141" s="48"/>
      <c r="J141" s="49"/>
      <c r="K141" s="50"/>
      <c r="L141" s="51"/>
      <c r="M141" s="51"/>
      <c r="N141" s="51"/>
      <c r="O141" s="51"/>
      <c r="P141" s="51"/>
      <c r="Q141" s="101"/>
      <c r="R141" s="41"/>
      <c r="S141" s="41"/>
    </row>
    <row r="142" spans="1:19">
      <c r="A142" s="63">
        <f>IF(F142&lt;&gt;"",1+MAX($A$2:A141),"")</f>
        <v>105</v>
      </c>
      <c r="B142" s="80"/>
      <c r="C142" s="81"/>
      <c r="D142" s="209" t="s">
        <v>182</v>
      </c>
      <c r="E142" s="47">
        <f>838*0.5/27</f>
        <v>15.518518518518519</v>
      </c>
      <c r="F142" s="46">
        <v>0.1</v>
      </c>
      <c r="G142" s="47">
        <f t="shared" ref="G142:G147" si="184">(F142*E142)+E142</f>
        <v>17.07037037037037</v>
      </c>
      <c r="H142" s="60" t="s">
        <v>46</v>
      </c>
      <c r="I142" s="48">
        <v>3</v>
      </c>
      <c r="J142" s="49">
        <f t="shared" ref="J142:J143" si="185">+I142*G142</f>
        <v>51.211111111111109</v>
      </c>
      <c r="K142" s="50">
        <v>50</v>
      </c>
      <c r="L142" s="51">
        <f t="shared" ref="L142:L143" si="186">I142*K142</f>
        <v>150</v>
      </c>
      <c r="M142" s="51">
        <f t="shared" ref="M142:M143" si="187">K142*J142</f>
        <v>2560.5555555555557</v>
      </c>
      <c r="N142" s="51">
        <v>230</v>
      </c>
      <c r="O142" s="51">
        <f t="shared" ref="O142:O147" si="188">N142*G142</f>
        <v>3926.1851851851852</v>
      </c>
      <c r="P142" s="51">
        <f t="shared" ref="P142:P147" si="189">(I142*K142)+N142</f>
        <v>380</v>
      </c>
      <c r="Q142" s="101">
        <f t="shared" ref="Q142:Q147" si="190">P142*G142</f>
        <v>6486.7407407407409</v>
      </c>
      <c r="R142" s="41"/>
      <c r="S142" s="41"/>
    </row>
    <row r="143" spans="1:19">
      <c r="A143" s="63">
        <f>IF(F143&lt;&gt;"",1+MAX($A$2:A142),"")</f>
        <v>106</v>
      </c>
      <c r="B143" s="80"/>
      <c r="C143" s="81"/>
      <c r="D143" s="82" t="s">
        <v>183</v>
      </c>
      <c r="E143" s="47">
        <f>838/1.33*0.668*2</f>
        <v>841.78045112781945</v>
      </c>
      <c r="F143" s="46">
        <v>0.1</v>
      </c>
      <c r="G143" s="47">
        <f t="shared" si="184"/>
        <v>925.95849624060133</v>
      </c>
      <c r="H143" s="60" t="s">
        <v>47</v>
      </c>
      <c r="I143" s="48">
        <v>1.4999999999999999E-2</v>
      </c>
      <c r="J143" s="49">
        <f t="shared" si="185"/>
        <v>13.889377443609019</v>
      </c>
      <c r="K143" s="50">
        <v>50</v>
      </c>
      <c r="L143" s="51">
        <f t="shared" si="186"/>
        <v>0.75</v>
      </c>
      <c r="M143" s="51">
        <f t="shared" si="187"/>
        <v>694.46887218045094</v>
      </c>
      <c r="N143" s="51">
        <v>1.1000000000000001</v>
      </c>
      <c r="O143" s="51">
        <f t="shared" si="188"/>
        <v>1018.5543458646615</v>
      </c>
      <c r="P143" s="51">
        <f t="shared" si="189"/>
        <v>1.85</v>
      </c>
      <c r="Q143" s="101">
        <f t="shared" si="190"/>
        <v>1713.0232180451126</v>
      </c>
      <c r="R143" s="41"/>
      <c r="S143" s="41"/>
    </row>
    <row r="144" spans="1:19">
      <c r="A144" s="63">
        <f>IF(F144&lt;&gt;"",1+MAX($A$2:A143),"")</f>
        <v>107</v>
      </c>
      <c r="B144" s="80"/>
      <c r="C144" s="81"/>
      <c r="D144" s="82" t="s">
        <v>184</v>
      </c>
      <c r="E144" s="47">
        <v>838</v>
      </c>
      <c r="F144" s="46">
        <v>0.1</v>
      </c>
      <c r="G144" s="47">
        <f t="shared" si="184"/>
        <v>921.8</v>
      </c>
      <c r="H144" s="60" t="s">
        <v>49</v>
      </c>
      <c r="I144" s="48">
        <v>1.7999999999999999E-2</v>
      </c>
      <c r="J144" s="49">
        <f t="shared" ref="J144:J147" si="191">+I144*G144</f>
        <v>16.592399999999998</v>
      </c>
      <c r="K144" s="50">
        <v>50</v>
      </c>
      <c r="L144" s="51">
        <f t="shared" ref="L144:L147" si="192">I144*K144</f>
        <v>0.89999999999999991</v>
      </c>
      <c r="M144" s="51">
        <f t="shared" ref="M144:M147" si="193">K144*J144</f>
        <v>829.61999999999989</v>
      </c>
      <c r="N144" s="51">
        <v>4.2</v>
      </c>
      <c r="O144" s="51">
        <f t="shared" si="188"/>
        <v>3871.56</v>
      </c>
      <c r="P144" s="51">
        <f t="shared" si="189"/>
        <v>5.0999999999999996</v>
      </c>
      <c r="Q144" s="101">
        <f t="shared" si="190"/>
        <v>4701.1799999999994</v>
      </c>
      <c r="R144" s="41"/>
      <c r="S144" s="41"/>
    </row>
    <row r="145" spans="1:19">
      <c r="A145" s="63">
        <f>IF(F145&lt;&gt;"",1+MAX($A$2:A144),"")</f>
        <v>108</v>
      </c>
      <c r="B145" s="80"/>
      <c r="C145" s="81"/>
      <c r="D145" s="82" t="s">
        <v>185</v>
      </c>
      <c r="E145" s="47">
        <f>838*0.417/27</f>
        <v>12.942444444444444</v>
      </c>
      <c r="F145" s="46">
        <v>0.1</v>
      </c>
      <c r="G145" s="47">
        <f t="shared" si="184"/>
        <v>14.236688888888889</v>
      </c>
      <c r="H145" s="60" t="s">
        <v>46</v>
      </c>
      <c r="I145" s="48">
        <v>3</v>
      </c>
      <c r="J145" s="49">
        <f t="shared" si="191"/>
        <v>42.710066666666663</v>
      </c>
      <c r="K145" s="50">
        <v>50</v>
      </c>
      <c r="L145" s="51">
        <f t="shared" si="192"/>
        <v>150</v>
      </c>
      <c r="M145" s="51">
        <f t="shared" si="193"/>
        <v>2135.5033333333331</v>
      </c>
      <c r="N145" s="51">
        <v>230</v>
      </c>
      <c r="O145" s="51">
        <f t="shared" si="188"/>
        <v>3274.4384444444445</v>
      </c>
      <c r="P145" s="51">
        <f t="shared" si="189"/>
        <v>380</v>
      </c>
      <c r="Q145" s="101">
        <f t="shared" si="190"/>
        <v>5409.941777777778</v>
      </c>
      <c r="R145" s="41"/>
      <c r="S145" s="41"/>
    </row>
    <row r="146" spans="1:19">
      <c r="A146" s="63">
        <f>IF(F146&lt;&gt;"",1+MAX($A$2:A145),"")</f>
        <v>109</v>
      </c>
      <c r="B146" s="80"/>
      <c r="C146" s="81"/>
      <c r="D146" s="82" t="s">
        <v>183</v>
      </c>
      <c r="E146" s="47">
        <f>838/1.33*0.668*2</f>
        <v>841.78045112781945</v>
      </c>
      <c r="F146" s="46">
        <v>0.1</v>
      </c>
      <c r="G146" s="47">
        <f t="shared" si="184"/>
        <v>925.95849624060133</v>
      </c>
      <c r="H146" s="60" t="s">
        <v>47</v>
      </c>
      <c r="I146" s="48">
        <v>1.4999999999999999E-2</v>
      </c>
      <c r="J146" s="49">
        <f t="shared" si="191"/>
        <v>13.889377443609019</v>
      </c>
      <c r="K146" s="50">
        <v>50</v>
      </c>
      <c r="L146" s="51">
        <f t="shared" si="192"/>
        <v>0.75</v>
      </c>
      <c r="M146" s="51">
        <f t="shared" si="193"/>
        <v>694.46887218045094</v>
      </c>
      <c r="N146" s="51">
        <v>1.1000000000000001</v>
      </c>
      <c r="O146" s="51">
        <f t="shared" si="188"/>
        <v>1018.5543458646615</v>
      </c>
      <c r="P146" s="51">
        <f t="shared" si="189"/>
        <v>1.85</v>
      </c>
      <c r="Q146" s="101">
        <f t="shared" si="190"/>
        <v>1713.0232180451126</v>
      </c>
      <c r="R146" s="41"/>
      <c r="S146" s="41"/>
    </row>
    <row r="147" spans="1:19">
      <c r="A147" s="63">
        <f>IF(F147&lt;&gt;"",1+MAX($A$2:A146),"")</f>
        <v>110</v>
      </c>
      <c r="B147" s="80"/>
      <c r="C147" s="81"/>
      <c r="D147" s="82" t="s">
        <v>178</v>
      </c>
      <c r="E147" s="47">
        <f>838/15*2</f>
        <v>111.73333333333333</v>
      </c>
      <c r="F147" s="46">
        <v>0.1</v>
      </c>
      <c r="G147" s="47">
        <f t="shared" si="184"/>
        <v>122.90666666666667</v>
      </c>
      <c r="H147" s="60" t="s">
        <v>53</v>
      </c>
      <c r="I147" s="48">
        <v>0.02</v>
      </c>
      <c r="J147" s="49">
        <f t="shared" si="191"/>
        <v>2.4581333333333335</v>
      </c>
      <c r="K147" s="50">
        <v>50</v>
      </c>
      <c r="L147" s="51">
        <f t="shared" si="192"/>
        <v>1</v>
      </c>
      <c r="M147" s="51">
        <f t="shared" si="193"/>
        <v>122.90666666666668</v>
      </c>
      <c r="N147" s="51">
        <v>0.55000000000000004</v>
      </c>
      <c r="O147" s="51">
        <f t="shared" si="188"/>
        <v>67.598666666666674</v>
      </c>
      <c r="P147" s="51">
        <f t="shared" si="189"/>
        <v>1.55</v>
      </c>
      <c r="Q147" s="101">
        <f t="shared" si="190"/>
        <v>190.50533333333334</v>
      </c>
      <c r="R147" s="41"/>
      <c r="S147" s="41"/>
    </row>
    <row r="148" spans="1:19">
      <c r="A148" s="63" t="str">
        <f>IF(F148&lt;&gt;"",1+MAX($A$2:A147),"")</f>
        <v/>
      </c>
      <c r="B148" s="80"/>
      <c r="C148" s="81"/>
      <c r="D148" s="82"/>
      <c r="E148" s="47"/>
      <c r="F148" s="46"/>
      <c r="G148" s="47"/>
      <c r="H148" s="60"/>
      <c r="I148" s="48"/>
      <c r="J148" s="49"/>
      <c r="K148" s="50"/>
      <c r="L148" s="51"/>
      <c r="M148" s="51"/>
      <c r="N148" s="51"/>
      <c r="O148" s="51"/>
      <c r="P148" s="51"/>
      <c r="Q148" s="101"/>
      <c r="R148" s="41"/>
      <c r="S148" s="41"/>
    </row>
    <row r="149" spans="1:19" ht="18" customHeight="1">
      <c r="A149" s="63" t="str">
        <f>IF(F149&lt;&gt;"",1+MAX($A$2:A148),"")</f>
        <v/>
      </c>
      <c r="B149" s="55"/>
      <c r="C149" s="67"/>
      <c r="D149" s="111" t="s">
        <v>186</v>
      </c>
      <c r="E149" s="76"/>
      <c r="F149" s="77"/>
      <c r="G149" s="47"/>
      <c r="H149" s="47"/>
      <c r="I149" s="78"/>
      <c r="J149" s="47"/>
      <c r="K149" s="61"/>
      <c r="L149" s="61"/>
      <c r="M149" s="61"/>
      <c r="N149" s="61"/>
      <c r="O149" s="61"/>
      <c r="P149" s="61"/>
      <c r="Q149" s="79"/>
      <c r="R149" s="41"/>
      <c r="S149" s="41"/>
    </row>
    <row r="150" spans="1:19">
      <c r="A150" s="63" t="str">
        <f>IF(F150&lt;&gt;"",1+MAX($A$2:A149),"")</f>
        <v/>
      </c>
      <c r="B150" s="80"/>
      <c r="C150" s="81"/>
      <c r="D150" s="209" t="s">
        <v>187</v>
      </c>
      <c r="E150" s="47"/>
      <c r="F150" s="46"/>
      <c r="G150" s="47"/>
      <c r="H150" s="60"/>
      <c r="I150" s="48"/>
      <c r="J150" s="49"/>
      <c r="K150" s="50"/>
      <c r="L150" s="51"/>
      <c r="M150" s="51"/>
      <c r="N150" s="51"/>
      <c r="O150" s="51"/>
      <c r="P150" s="51"/>
      <c r="Q150" s="101"/>
      <c r="R150" s="41"/>
      <c r="S150" s="41"/>
    </row>
    <row r="151" spans="1:19">
      <c r="A151" s="63">
        <f>IF(F151&lt;&gt;"",1+MAX($A$2:A150),"")</f>
        <v>111</v>
      </c>
      <c r="B151" s="80"/>
      <c r="C151" s="81"/>
      <c r="D151" s="82" t="s">
        <v>188</v>
      </c>
      <c r="E151" s="47">
        <f>200*1*6/27</f>
        <v>44.444444444444443</v>
      </c>
      <c r="F151" s="46">
        <v>0.1</v>
      </c>
      <c r="G151" s="47">
        <f t="shared" ref="G151:G154" si="194">(F151*E151)+E151</f>
        <v>48.888888888888886</v>
      </c>
      <c r="H151" s="60" t="s">
        <v>46</v>
      </c>
      <c r="I151" s="48">
        <v>3</v>
      </c>
      <c r="J151" s="49">
        <f t="shared" ref="J151:J152" si="195">+I151*G151</f>
        <v>146.66666666666666</v>
      </c>
      <c r="K151" s="50">
        <v>50</v>
      </c>
      <c r="L151" s="51">
        <f t="shared" ref="L151:L152" si="196">I151*K151</f>
        <v>150</v>
      </c>
      <c r="M151" s="51">
        <f t="shared" ref="M151:M152" si="197">K151*J151</f>
        <v>7333.333333333333</v>
      </c>
      <c r="N151" s="51">
        <v>230</v>
      </c>
      <c r="O151" s="51">
        <f t="shared" ref="O151:O154" si="198">N151*G151</f>
        <v>11244.444444444443</v>
      </c>
      <c r="P151" s="51">
        <f t="shared" ref="P151:P154" si="199">(I151*K151)+N151</f>
        <v>380</v>
      </c>
      <c r="Q151" s="101">
        <f t="shared" ref="Q151:Q154" si="200">P151*G151</f>
        <v>18577.777777777777</v>
      </c>
      <c r="R151" s="41"/>
      <c r="S151" s="41"/>
    </row>
    <row r="152" spans="1:19">
      <c r="A152" s="63">
        <f>IF(F152&lt;&gt;"",1+MAX($A$2:A151),"")</f>
        <v>112</v>
      </c>
      <c r="B152" s="80"/>
      <c r="C152" s="81"/>
      <c r="D152" s="82" t="s">
        <v>189</v>
      </c>
      <c r="E152" s="47">
        <f>200/1*6*1.043</f>
        <v>1251.5999999999999</v>
      </c>
      <c r="F152" s="46">
        <v>0.1</v>
      </c>
      <c r="G152" s="47">
        <f t="shared" si="194"/>
        <v>1376.76</v>
      </c>
      <c r="H152" s="60" t="s">
        <v>47</v>
      </c>
      <c r="I152" s="48">
        <v>1.4999999999999999E-2</v>
      </c>
      <c r="J152" s="49">
        <f t="shared" si="195"/>
        <v>20.651399999999999</v>
      </c>
      <c r="K152" s="50">
        <v>50</v>
      </c>
      <c r="L152" s="51">
        <f t="shared" si="196"/>
        <v>0.75</v>
      </c>
      <c r="M152" s="51">
        <f t="shared" si="197"/>
        <v>1032.57</v>
      </c>
      <c r="N152" s="51">
        <v>1.1000000000000001</v>
      </c>
      <c r="O152" s="51">
        <f t="shared" si="198"/>
        <v>1514.4360000000001</v>
      </c>
      <c r="P152" s="51">
        <f t="shared" si="199"/>
        <v>1.85</v>
      </c>
      <c r="Q152" s="101">
        <f t="shared" si="200"/>
        <v>2547.0060000000003</v>
      </c>
      <c r="R152" s="41"/>
      <c r="S152" s="41"/>
    </row>
    <row r="153" spans="1:19">
      <c r="A153" s="63">
        <f>IF(F153&lt;&gt;"",1+MAX($A$2:A152),"")</f>
        <v>113</v>
      </c>
      <c r="B153" s="80"/>
      <c r="C153" s="81"/>
      <c r="D153" s="82" t="s">
        <v>190</v>
      </c>
      <c r="E153" s="47">
        <f>200/1*1.043</f>
        <v>208.6</v>
      </c>
      <c r="F153" s="46">
        <v>0.1</v>
      </c>
      <c r="G153" s="47">
        <f t="shared" si="194"/>
        <v>229.45999999999998</v>
      </c>
      <c r="H153" s="60" t="s">
        <v>47</v>
      </c>
      <c r="I153" s="48">
        <v>1.4999999999999999E-2</v>
      </c>
      <c r="J153" s="49">
        <f t="shared" ref="J153" si="201">+I153*G153</f>
        <v>3.4418999999999995</v>
      </c>
      <c r="K153" s="50">
        <v>50</v>
      </c>
      <c r="L153" s="51">
        <f t="shared" ref="L153" si="202">I153*K153</f>
        <v>0.75</v>
      </c>
      <c r="M153" s="51">
        <f t="shared" ref="M153" si="203">K153*J153</f>
        <v>172.09499999999997</v>
      </c>
      <c r="N153" s="51">
        <v>1.1000000000000001</v>
      </c>
      <c r="O153" s="51">
        <f t="shared" si="198"/>
        <v>252.40600000000001</v>
      </c>
      <c r="P153" s="51">
        <f t="shared" si="199"/>
        <v>1.85</v>
      </c>
      <c r="Q153" s="101">
        <f t="shared" si="200"/>
        <v>424.50099999999998</v>
      </c>
      <c r="R153" s="41"/>
      <c r="S153" s="41"/>
    </row>
    <row r="154" spans="1:19">
      <c r="A154" s="63">
        <f>IF(F154&lt;&gt;"",1+MAX($A$2:A153),"")</f>
        <v>114</v>
      </c>
      <c r="B154" s="80"/>
      <c r="C154" s="81"/>
      <c r="D154" s="82" t="s">
        <v>48</v>
      </c>
      <c r="E154" s="47">
        <f>200*6*2</f>
        <v>2400</v>
      </c>
      <c r="F154" s="46">
        <v>0.1</v>
      </c>
      <c r="G154" s="47">
        <f t="shared" si="194"/>
        <v>2640</v>
      </c>
      <c r="H154" s="60" t="s">
        <v>49</v>
      </c>
      <c r="I154" s="48">
        <v>0.09</v>
      </c>
      <c r="J154" s="49">
        <f t="shared" ref="J154" si="204">+I154*G154</f>
        <v>237.6</v>
      </c>
      <c r="K154" s="50">
        <v>50</v>
      </c>
      <c r="L154" s="51">
        <f t="shared" ref="L154" si="205">I154*K154</f>
        <v>4.5</v>
      </c>
      <c r="M154" s="51">
        <f t="shared" ref="M154" si="206">K154*J154</f>
        <v>11880</v>
      </c>
      <c r="N154" s="51">
        <v>0</v>
      </c>
      <c r="O154" s="51">
        <f t="shared" si="198"/>
        <v>0</v>
      </c>
      <c r="P154" s="51">
        <f t="shared" si="199"/>
        <v>4.5</v>
      </c>
      <c r="Q154" s="101">
        <f t="shared" si="200"/>
        <v>11880</v>
      </c>
      <c r="R154" s="41"/>
      <c r="S154" s="41"/>
    </row>
    <row r="155" spans="1:19">
      <c r="A155" s="63" t="str">
        <f>IF(F155&lt;&gt;"",1+MAX($A$2:A154),"")</f>
        <v/>
      </c>
      <c r="B155" s="80"/>
      <c r="C155" s="81"/>
      <c r="D155" s="82"/>
      <c r="E155" s="47"/>
      <c r="F155" s="46"/>
      <c r="G155" s="47"/>
      <c r="H155" s="60"/>
      <c r="I155" s="48"/>
      <c r="J155" s="49"/>
      <c r="K155" s="50"/>
      <c r="L155" s="51"/>
      <c r="M155" s="51"/>
      <c r="N155" s="51"/>
      <c r="O155" s="51"/>
      <c r="P155" s="51"/>
      <c r="Q155" s="101"/>
      <c r="R155" s="41"/>
      <c r="S155" s="41"/>
    </row>
    <row r="156" spans="1:19">
      <c r="A156" s="63">
        <f>IF(F156&lt;&gt;"",1+MAX($A$2:A155),"")</f>
        <v>115</v>
      </c>
      <c r="B156" s="80"/>
      <c r="C156" s="81"/>
      <c r="D156" s="209" t="s">
        <v>191</v>
      </c>
      <c r="E156" s="47">
        <f>28109*0.6/27</f>
        <v>624.64444444444439</v>
      </c>
      <c r="F156" s="46">
        <v>0.1</v>
      </c>
      <c r="G156" s="47">
        <f t="shared" ref="G156:G159" si="207">(F156*E156)+E156</f>
        <v>687.10888888888883</v>
      </c>
      <c r="H156" s="60" t="s">
        <v>46</v>
      </c>
      <c r="I156" s="48">
        <v>3</v>
      </c>
      <c r="J156" s="49">
        <f t="shared" ref="J156:J159" si="208">+I156*G156</f>
        <v>2061.3266666666664</v>
      </c>
      <c r="K156" s="50">
        <v>50</v>
      </c>
      <c r="L156" s="51">
        <f t="shared" ref="L156:L159" si="209">I156*K156</f>
        <v>150</v>
      </c>
      <c r="M156" s="51">
        <f t="shared" ref="M156:M159" si="210">K156*J156</f>
        <v>103066.33333333331</v>
      </c>
      <c r="N156" s="51">
        <v>230</v>
      </c>
      <c r="O156" s="51">
        <f t="shared" ref="O156:O159" si="211">N156*G156</f>
        <v>158035.04444444444</v>
      </c>
      <c r="P156" s="51">
        <f t="shared" ref="P156:P159" si="212">(I156*K156)+N156</f>
        <v>380</v>
      </c>
      <c r="Q156" s="101">
        <f t="shared" ref="Q156:Q159" si="213">P156*G156</f>
        <v>261101.37777777776</v>
      </c>
      <c r="R156" s="41"/>
      <c r="S156" s="41"/>
    </row>
    <row r="157" spans="1:19">
      <c r="A157" s="63">
        <f>IF(F157&lt;&gt;"",1+MAX($A$2:A156),"")</f>
        <v>116</v>
      </c>
      <c r="B157" s="80"/>
      <c r="C157" s="81"/>
      <c r="D157" s="82" t="s">
        <v>192</v>
      </c>
      <c r="E157" s="47">
        <f>28109/0.833*1.043</f>
        <v>35195.302521008402</v>
      </c>
      <c r="F157" s="46">
        <v>0.1</v>
      </c>
      <c r="G157" s="47">
        <f t="shared" si="207"/>
        <v>38714.832773109243</v>
      </c>
      <c r="H157" s="60" t="s">
        <v>47</v>
      </c>
      <c r="I157" s="48">
        <v>1.4999999999999999E-2</v>
      </c>
      <c r="J157" s="49">
        <f t="shared" si="208"/>
        <v>580.72249159663863</v>
      </c>
      <c r="K157" s="50">
        <v>50</v>
      </c>
      <c r="L157" s="51">
        <f t="shared" si="209"/>
        <v>0.75</v>
      </c>
      <c r="M157" s="51">
        <f t="shared" si="210"/>
        <v>29036.124579831932</v>
      </c>
      <c r="N157" s="51">
        <v>1.1000000000000001</v>
      </c>
      <c r="O157" s="51">
        <f t="shared" si="211"/>
        <v>42586.316050420173</v>
      </c>
      <c r="P157" s="51">
        <f t="shared" si="212"/>
        <v>1.85</v>
      </c>
      <c r="Q157" s="101">
        <f t="shared" si="213"/>
        <v>71622.440630252109</v>
      </c>
      <c r="R157" s="41"/>
      <c r="S157" s="41"/>
    </row>
    <row r="158" spans="1:19">
      <c r="A158" s="63">
        <f>IF(F158&lt;&gt;"",1+MAX($A$2:A157),"")</f>
        <v>117</v>
      </c>
      <c r="B158" s="80"/>
      <c r="C158" s="81"/>
      <c r="D158" s="82" t="s">
        <v>193</v>
      </c>
      <c r="E158" s="47">
        <f>28109/1*0.668</f>
        <v>18776.812000000002</v>
      </c>
      <c r="F158" s="46">
        <v>0.1</v>
      </c>
      <c r="G158" s="47">
        <f t="shared" si="207"/>
        <v>20654.493200000001</v>
      </c>
      <c r="H158" s="60" t="s">
        <v>47</v>
      </c>
      <c r="I158" s="48">
        <v>1.4999999999999999E-2</v>
      </c>
      <c r="J158" s="49">
        <f t="shared" si="208"/>
        <v>309.81739800000003</v>
      </c>
      <c r="K158" s="50">
        <v>50</v>
      </c>
      <c r="L158" s="51">
        <f t="shared" si="209"/>
        <v>0.75</v>
      </c>
      <c r="M158" s="51">
        <f t="shared" si="210"/>
        <v>15490.869900000002</v>
      </c>
      <c r="N158" s="51">
        <v>1.1000000000000001</v>
      </c>
      <c r="O158" s="51">
        <f t="shared" si="211"/>
        <v>22719.942520000004</v>
      </c>
      <c r="P158" s="51">
        <f t="shared" si="212"/>
        <v>1.85</v>
      </c>
      <c r="Q158" s="101">
        <f t="shared" si="213"/>
        <v>38210.812420000002</v>
      </c>
      <c r="R158" s="41"/>
      <c r="S158" s="41"/>
    </row>
    <row r="159" spans="1:19">
      <c r="A159" s="63">
        <f>IF(F159&lt;&gt;"",1+MAX($A$2:A158),"")</f>
        <v>118</v>
      </c>
      <c r="B159" s="80"/>
      <c r="C159" s="81"/>
      <c r="D159" s="82" t="s">
        <v>48</v>
      </c>
      <c r="E159" s="47">
        <f>28109*2</f>
        <v>56218</v>
      </c>
      <c r="F159" s="46">
        <v>0.1</v>
      </c>
      <c r="G159" s="47">
        <f t="shared" si="207"/>
        <v>61839.8</v>
      </c>
      <c r="H159" s="60" t="s">
        <v>49</v>
      </c>
      <c r="I159" s="48">
        <v>0.09</v>
      </c>
      <c r="J159" s="49">
        <f t="shared" si="208"/>
        <v>5565.5820000000003</v>
      </c>
      <c r="K159" s="50">
        <v>50</v>
      </c>
      <c r="L159" s="51">
        <f t="shared" si="209"/>
        <v>4.5</v>
      </c>
      <c r="M159" s="51">
        <f t="shared" si="210"/>
        <v>278279.10000000003</v>
      </c>
      <c r="N159" s="51">
        <v>0</v>
      </c>
      <c r="O159" s="51">
        <f t="shared" si="211"/>
        <v>0</v>
      </c>
      <c r="P159" s="51">
        <f t="shared" si="212"/>
        <v>4.5</v>
      </c>
      <c r="Q159" s="101">
        <f t="shared" si="213"/>
        <v>278279.10000000003</v>
      </c>
      <c r="R159" s="41"/>
      <c r="S159" s="41"/>
    </row>
    <row r="160" spans="1:19">
      <c r="A160" s="63" t="str">
        <f>IF(F160&lt;&gt;"",1+MAX($A$2:A159),"")</f>
        <v/>
      </c>
      <c r="B160" s="80"/>
      <c r="C160" s="81"/>
      <c r="D160" s="82"/>
      <c r="E160" s="47"/>
      <c r="F160" s="46"/>
      <c r="G160" s="47"/>
      <c r="H160" s="60"/>
      <c r="I160" s="48"/>
      <c r="J160" s="49"/>
      <c r="K160" s="50"/>
      <c r="L160" s="51"/>
      <c r="M160" s="51"/>
      <c r="N160" s="51"/>
      <c r="O160" s="51"/>
      <c r="P160" s="51"/>
      <c r="Q160" s="101"/>
      <c r="R160" s="41"/>
      <c r="S160" s="41"/>
    </row>
    <row r="161" spans="1:19" ht="18" customHeight="1">
      <c r="A161" s="63" t="str">
        <f>IF(F161&lt;&gt;"",1+MAX($A$2:A160),"")</f>
        <v/>
      </c>
      <c r="B161" s="55"/>
      <c r="C161" s="67"/>
      <c r="D161" s="111" t="s">
        <v>194</v>
      </c>
      <c r="E161" s="76"/>
      <c r="F161" s="77"/>
      <c r="G161" s="47"/>
      <c r="H161" s="47"/>
      <c r="I161" s="78"/>
      <c r="J161" s="47"/>
      <c r="K161" s="61"/>
      <c r="L161" s="61"/>
      <c r="M161" s="61"/>
      <c r="N161" s="61"/>
      <c r="O161" s="61"/>
      <c r="P161" s="61"/>
      <c r="Q161" s="79"/>
      <c r="R161" s="41"/>
      <c r="S161" s="41"/>
    </row>
    <row r="162" spans="1:19">
      <c r="A162" s="63">
        <f>IF(F162&lt;&gt;"",1+MAX($A$2:A161),"")</f>
        <v>119</v>
      </c>
      <c r="B162" s="80"/>
      <c r="C162" s="81"/>
      <c r="D162" s="209" t="s">
        <v>195</v>
      </c>
      <c r="E162" s="47">
        <f>35*0.833*1/27</f>
        <v>1.0798148148148148</v>
      </c>
      <c r="F162" s="46">
        <v>0.1</v>
      </c>
      <c r="G162" s="47">
        <f t="shared" ref="G162:G165" si="214">(F162*E162)+E162</f>
        <v>1.1877962962962962</v>
      </c>
      <c r="H162" s="60" t="s">
        <v>46</v>
      </c>
      <c r="I162" s="48">
        <v>3</v>
      </c>
      <c r="J162" s="49">
        <f t="shared" ref="J162:J165" si="215">+I162*G162</f>
        <v>3.5633888888888885</v>
      </c>
      <c r="K162" s="50">
        <v>50</v>
      </c>
      <c r="L162" s="51">
        <f t="shared" ref="L162:L165" si="216">I162*K162</f>
        <v>150</v>
      </c>
      <c r="M162" s="51">
        <f t="shared" ref="M162:M165" si="217">K162*J162</f>
        <v>178.16944444444442</v>
      </c>
      <c r="N162" s="51">
        <v>230</v>
      </c>
      <c r="O162" s="51">
        <f t="shared" ref="O162:O165" si="218">N162*G162</f>
        <v>273.19314814814811</v>
      </c>
      <c r="P162" s="51">
        <f t="shared" ref="P162:P165" si="219">(I162*K162)+N162</f>
        <v>380</v>
      </c>
      <c r="Q162" s="101">
        <f t="shared" ref="Q162:Q165" si="220">P162*G162</f>
        <v>451.36259259259259</v>
      </c>
      <c r="R162" s="41"/>
      <c r="S162" s="41"/>
    </row>
    <row r="163" spans="1:19">
      <c r="A163" s="63">
        <f>IF(F163&lt;&gt;"",1+MAX($A$2:A162),"")</f>
        <v>120</v>
      </c>
      <c r="B163" s="80"/>
      <c r="C163" s="81"/>
      <c r="D163" s="82" t="s">
        <v>196</v>
      </c>
      <c r="E163" s="47">
        <f>35*2*1.043</f>
        <v>73.009999999999991</v>
      </c>
      <c r="F163" s="46">
        <v>0.1</v>
      </c>
      <c r="G163" s="47">
        <f t="shared" si="214"/>
        <v>80.310999999999993</v>
      </c>
      <c r="H163" s="60" t="s">
        <v>47</v>
      </c>
      <c r="I163" s="48">
        <v>1.4999999999999999E-2</v>
      </c>
      <c r="J163" s="49">
        <f t="shared" si="215"/>
        <v>1.2046649999999999</v>
      </c>
      <c r="K163" s="50">
        <v>50</v>
      </c>
      <c r="L163" s="51">
        <f t="shared" si="216"/>
        <v>0.75</v>
      </c>
      <c r="M163" s="51">
        <f t="shared" si="217"/>
        <v>60.233249999999991</v>
      </c>
      <c r="N163" s="51">
        <v>1.1000000000000001</v>
      </c>
      <c r="O163" s="51">
        <f t="shared" si="218"/>
        <v>88.342100000000002</v>
      </c>
      <c r="P163" s="51">
        <f t="shared" si="219"/>
        <v>1.85</v>
      </c>
      <c r="Q163" s="101">
        <f t="shared" si="220"/>
        <v>148.57534999999999</v>
      </c>
      <c r="R163" s="41"/>
      <c r="S163" s="41"/>
    </row>
    <row r="164" spans="1:19">
      <c r="A164" s="63">
        <f>IF(F164&lt;&gt;"",1+MAX($A$2:A163),"")</f>
        <v>121</v>
      </c>
      <c r="B164" s="80"/>
      <c r="C164" s="81"/>
      <c r="D164" s="82" t="s">
        <v>161</v>
      </c>
      <c r="E164" s="47">
        <f>35/1.5*0.376</f>
        <v>8.7733333333333334</v>
      </c>
      <c r="F164" s="46">
        <v>0.1</v>
      </c>
      <c r="G164" s="47">
        <f t="shared" si="214"/>
        <v>9.6506666666666661</v>
      </c>
      <c r="H164" s="60" t="s">
        <v>47</v>
      </c>
      <c r="I164" s="48">
        <v>1.4999999999999999E-2</v>
      </c>
      <c r="J164" s="49">
        <f t="shared" si="215"/>
        <v>0.14475999999999997</v>
      </c>
      <c r="K164" s="50">
        <v>50</v>
      </c>
      <c r="L164" s="51">
        <f t="shared" si="216"/>
        <v>0.75</v>
      </c>
      <c r="M164" s="51">
        <f t="shared" si="217"/>
        <v>7.2379999999999987</v>
      </c>
      <c r="N164" s="51">
        <v>1.1000000000000001</v>
      </c>
      <c r="O164" s="51">
        <f t="shared" si="218"/>
        <v>10.615733333333333</v>
      </c>
      <c r="P164" s="51">
        <f t="shared" si="219"/>
        <v>1.85</v>
      </c>
      <c r="Q164" s="101">
        <f t="shared" si="220"/>
        <v>17.853733333333334</v>
      </c>
      <c r="R164" s="41"/>
      <c r="S164" s="41"/>
    </row>
    <row r="165" spans="1:19">
      <c r="A165" s="63">
        <f>IF(F165&lt;&gt;"",1+MAX($A$2:A164),"")</f>
        <v>122</v>
      </c>
      <c r="B165" s="80"/>
      <c r="C165" s="81"/>
      <c r="D165" s="82" t="s">
        <v>48</v>
      </c>
      <c r="E165" s="47">
        <f>35*1*2</f>
        <v>70</v>
      </c>
      <c r="F165" s="46">
        <v>0.1</v>
      </c>
      <c r="G165" s="47">
        <f t="shared" si="214"/>
        <v>77</v>
      </c>
      <c r="H165" s="60" t="s">
        <v>49</v>
      </c>
      <c r="I165" s="48">
        <v>0.09</v>
      </c>
      <c r="J165" s="49">
        <f t="shared" si="215"/>
        <v>6.93</v>
      </c>
      <c r="K165" s="50">
        <v>50</v>
      </c>
      <c r="L165" s="51">
        <f t="shared" si="216"/>
        <v>4.5</v>
      </c>
      <c r="M165" s="51">
        <f t="shared" si="217"/>
        <v>346.5</v>
      </c>
      <c r="N165" s="51">
        <v>0</v>
      </c>
      <c r="O165" s="51">
        <f t="shared" si="218"/>
        <v>0</v>
      </c>
      <c r="P165" s="51">
        <f t="shared" si="219"/>
        <v>4.5</v>
      </c>
      <c r="Q165" s="101">
        <f t="shared" si="220"/>
        <v>346.5</v>
      </c>
      <c r="R165" s="41"/>
      <c r="S165" s="41"/>
    </row>
    <row r="166" spans="1:19">
      <c r="A166" s="63" t="str">
        <f>IF(F166&lt;&gt;"",1+MAX($A$2:A165),"")</f>
        <v/>
      </c>
      <c r="B166" s="80"/>
      <c r="C166" s="81"/>
      <c r="D166" s="82"/>
      <c r="E166" s="47"/>
      <c r="F166" s="46"/>
      <c r="G166" s="47"/>
      <c r="H166" s="60"/>
      <c r="I166" s="48"/>
      <c r="J166" s="49"/>
      <c r="K166" s="50"/>
      <c r="L166" s="51"/>
      <c r="M166" s="51"/>
      <c r="N166" s="51"/>
      <c r="O166" s="51"/>
      <c r="P166" s="51"/>
      <c r="Q166" s="101"/>
      <c r="R166" s="41"/>
      <c r="S166" s="41"/>
    </row>
    <row r="167" spans="1:19">
      <c r="A167" s="63">
        <f>IF(F167&lt;&gt;"",1+MAX($A$2:A166),"")</f>
        <v>123</v>
      </c>
      <c r="B167" s="80"/>
      <c r="C167" s="81"/>
      <c r="D167" s="209" t="s">
        <v>197</v>
      </c>
      <c r="E167" s="47">
        <f>116*1*0.667/27</f>
        <v>2.8656296296296295</v>
      </c>
      <c r="F167" s="46">
        <v>0.1</v>
      </c>
      <c r="G167" s="47">
        <f t="shared" ref="G167:G170" si="221">(F167*E167)+E167</f>
        <v>3.1521925925925927</v>
      </c>
      <c r="H167" s="60" t="s">
        <v>46</v>
      </c>
      <c r="I167" s="48">
        <v>3</v>
      </c>
      <c r="J167" s="49">
        <f t="shared" ref="J167:J170" si="222">+I167*G167</f>
        <v>9.4565777777777775</v>
      </c>
      <c r="K167" s="50">
        <v>50</v>
      </c>
      <c r="L167" s="51">
        <f t="shared" ref="L167:L170" si="223">I167*K167</f>
        <v>150</v>
      </c>
      <c r="M167" s="51">
        <f t="shared" ref="M167:M170" si="224">K167*J167</f>
        <v>472.82888888888886</v>
      </c>
      <c r="N167" s="51">
        <v>230</v>
      </c>
      <c r="O167" s="51">
        <f t="shared" ref="O167:O170" si="225">N167*G167</f>
        <v>725.00429629629627</v>
      </c>
      <c r="P167" s="51">
        <f t="shared" ref="P167:P170" si="226">(I167*K167)+N167</f>
        <v>380</v>
      </c>
      <c r="Q167" s="101">
        <f t="shared" ref="Q167:Q170" si="227">P167*G167</f>
        <v>1197.8331851851851</v>
      </c>
      <c r="R167" s="41"/>
      <c r="S167" s="41"/>
    </row>
    <row r="168" spans="1:19">
      <c r="A168" s="63">
        <f>IF(F168&lt;&gt;"",1+MAX($A$2:A167),"")</f>
        <v>124</v>
      </c>
      <c r="B168" s="80"/>
      <c r="C168" s="81"/>
      <c r="D168" s="82" t="s">
        <v>196</v>
      </c>
      <c r="E168" s="47">
        <f>116*2*1.043</f>
        <v>241.97599999999997</v>
      </c>
      <c r="F168" s="46">
        <v>0.1</v>
      </c>
      <c r="G168" s="47">
        <f t="shared" si="221"/>
        <v>266.17359999999996</v>
      </c>
      <c r="H168" s="60" t="s">
        <v>47</v>
      </c>
      <c r="I168" s="48">
        <v>1.4999999999999999E-2</v>
      </c>
      <c r="J168" s="49">
        <f t="shared" si="222"/>
        <v>3.9926039999999992</v>
      </c>
      <c r="K168" s="50">
        <v>50</v>
      </c>
      <c r="L168" s="51">
        <f t="shared" si="223"/>
        <v>0.75</v>
      </c>
      <c r="M168" s="51">
        <f t="shared" si="224"/>
        <v>199.63019999999995</v>
      </c>
      <c r="N168" s="51">
        <v>1.1000000000000001</v>
      </c>
      <c r="O168" s="51">
        <f t="shared" si="225"/>
        <v>292.79095999999998</v>
      </c>
      <c r="P168" s="51">
        <f t="shared" si="226"/>
        <v>1.85</v>
      </c>
      <c r="Q168" s="101">
        <f t="shared" si="227"/>
        <v>492.42115999999999</v>
      </c>
      <c r="R168" s="41"/>
      <c r="S168" s="41"/>
    </row>
    <row r="169" spans="1:19">
      <c r="A169" s="63">
        <f>IF(F169&lt;&gt;"",1+MAX($A$2:A168),"")</f>
        <v>125</v>
      </c>
      <c r="B169" s="80"/>
      <c r="C169" s="81"/>
      <c r="D169" s="82" t="s">
        <v>161</v>
      </c>
      <c r="E169" s="47">
        <f>116/1.5*0.376</f>
        <v>29.077333333333332</v>
      </c>
      <c r="F169" s="46">
        <v>0.1</v>
      </c>
      <c r="G169" s="47">
        <f t="shared" si="221"/>
        <v>31.985066666666665</v>
      </c>
      <c r="H169" s="60" t="s">
        <v>47</v>
      </c>
      <c r="I169" s="48">
        <v>1.4999999999999999E-2</v>
      </c>
      <c r="J169" s="49">
        <f t="shared" si="222"/>
        <v>0.47977599999999998</v>
      </c>
      <c r="K169" s="50">
        <v>50</v>
      </c>
      <c r="L169" s="51">
        <f t="shared" si="223"/>
        <v>0.75</v>
      </c>
      <c r="M169" s="51">
        <f t="shared" si="224"/>
        <v>23.988799999999998</v>
      </c>
      <c r="N169" s="51">
        <v>1.1000000000000001</v>
      </c>
      <c r="O169" s="51">
        <f t="shared" si="225"/>
        <v>35.183573333333335</v>
      </c>
      <c r="P169" s="51">
        <f t="shared" si="226"/>
        <v>1.85</v>
      </c>
      <c r="Q169" s="101">
        <f t="shared" si="227"/>
        <v>59.172373333333333</v>
      </c>
      <c r="R169" s="41"/>
      <c r="S169" s="41"/>
    </row>
    <row r="170" spans="1:19">
      <c r="A170" s="63">
        <f>IF(F170&lt;&gt;"",1+MAX($A$2:A169),"")</f>
        <v>126</v>
      </c>
      <c r="B170" s="80"/>
      <c r="C170" s="81"/>
      <c r="D170" s="82" t="s">
        <v>48</v>
      </c>
      <c r="E170" s="47">
        <f>116*0.667*2</f>
        <v>154.744</v>
      </c>
      <c r="F170" s="46">
        <v>0.1</v>
      </c>
      <c r="G170" s="47">
        <f t="shared" si="221"/>
        <v>170.2184</v>
      </c>
      <c r="H170" s="60" t="s">
        <v>49</v>
      </c>
      <c r="I170" s="48">
        <v>0.09</v>
      </c>
      <c r="J170" s="49">
        <f t="shared" si="222"/>
        <v>15.319656</v>
      </c>
      <c r="K170" s="50">
        <v>50</v>
      </c>
      <c r="L170" s="51">
        <f t="shared" si="223"/>
        <v>4.5</v>
      </c>
      <c r="M170" s="51">
        <f t="shared" si="224"/>
        <v>765.9828</v>
      </c>
      <c r="N170" s="51">
        <v>0</v>
      </c>
      <c r="O170" s="51">
        <f t="shared" si="225"/>
        <v>0</v>
      </c>
      <c r="P170" s="51">
        <f t="shared" si="226"/>
        <v>4.5</v>
      </c>
      <c r="Q170" s="101">
        <f t="shared" si="227"/>
        <v>765.9828</v>
      </c>
      <c r="R170" s="41"/>
      <c r="S170" s="41"/>
    </row>
    <row r="171" spans="1:19">
      <c r="A171" s="63" t="str">
        <f>IF(F171&lt;&gt;"",1+MAX($A$2:A170),"")</f>
        <v/>
      </c>
      <c r="B171" s="80"/>
      <c r="C171" s="81"/>
      <c r="D171" s="82"/>
      <c r="E171" s="47"/>
      <c r="F171" s="46"/>
      <c r="G171" s="47"/>
      <c r="H171" s="60"/>
      <c r="I171" s="48"/>
      <c r="J171" s="49"/>
      <c r="K171" s="50"/>
      <c r="L171" s="51"/>
      <c r="M171" s="51"/>
      <c r="N171" s="51"/>
      <c r="O171" s="51"/>
      <c r="P171" s="51"/>
      <c r="Q171" s="101"/>
      <c r="R171" s="41"/>
      <c r="S171" s="41"/>
    </row>
    <row r="172" spans="1:19">
      <c r="A172" s="63">
        <f>IF(F172&lt;&gt;"",1+MAX($A$2:A171),"")</f>
        <v>127</v>
      </c>
      <c r="B172" s="80"/>
      <c r="C172" s="81"/>
      <c r="D172" s="209" t="s">
        <v>198</v>
      </c>
      <c r="E172" s="47">
        <f>235*1*1/27</f>
        <v>8.7037037037037042</v>
      </c>
      <c r="F172" s="46">
        <v>0.1</v>
      </c>
      <c r="G172" s="47">
        <f t="shared" ref="G172:G175" si="228">(F172*E172)+E172</f>
        <v>9.5740740740740744</v>
      </c>
      <c r="H172" s="60" t="s">
        <v>46</v>
      </c>
      <c r="I172" s="48">
        <v>3</v>
      </c>
      <c r="J172" s="49">
        <f t="shared" ref="J172:J175" si="229">+I172*G172</f>
        <v>28.722222222222221</v>
      </c>
      <c r="K172" s="50">
        <v>50</v>
      </c>
      <c r="L172" s="51">
        <f t="shared" ref="L172:L175" si="230">I172*K172</f>
        <v>150</v>
      </c>
      <c r="M172" s="51">
        <f t="shared" ref="M172:M175" si="231">K172*J172</f>
        <v>1436.1111111111111</v>
      </c>
      <c r="N172" s="51">
        <v>230</v>
      </c>
      <c r="O172" s="51">
        <f t="shared" ref="O172:O175" si="232">N172*G172</f>
        <v>2202.037037037037</v>
      </c>
      <c r="P172" s="51">
        <f t="shared" ref="P172:P175" si="233">(I172*K172)+N172</f>
        <v>380</v>
      </c>
      <c r="Q172" s="101">
        <f t="shared" ref="Q172:Q175" si="234">P172*G172</f>
        <v>3638.1481481481483</v>
      </c>
      <c r="R172" s="41"/>
      <c r="S172" s="41"/>
    </row>
    <row r="173" spans="1:19">
      <c r="A173" s="63">
        <f>IF(F173&lt;&gt;"",1+MAX($A$2:A172),"")</f>
        <v>128</v>
      </c>
      <c r="B173" s="80"/>
      <c r="C173" s="81"/>
      <c r="D173" s="82" t="s">
        <v>196</v>
      </c>
      <c r="E173" s="47">
        <f>235*2*1.043</f>
        <v>490.21</v>
      </c>
      <c r="F173" s="46">
        <v>0.1</v>
      </c>
      <c r="G173" s="47">
        <f t="shared" si="228"/>
        <v>539.23099999999999</v>
      </c>
      <c r="H173" s="60" t="s">
        <v>47</v>
      </c>
      <c r="I173" s="48">
        <v>1.4999999999999999E-2</v>
      </c>
      <c r="J173" s="49">
        <f t="shared" si="229"/>
        <v>8.0884649999999993</v>
      </c>
      <c r="K173" s="50">
        <v>50</v>
      </c>
      <c r="L173" s="51">
        <f t="shared" si="230"/>
        <v>0.75</v>
      </c>
      <c r="M173" s="51">
        <f t="shared" si="231"/>
        <v>404.42324999999994</v>
      </c>
      <c r="N173" s="51">
        <v>1.1000000000000001</v>
      </c>
      <c r="O173" s="51">
        <f t="shared" si="232"/>
        <v>593.15410000000008</v>
      </c>
      <c r="P173" s="51">
        <f t="shared" si="233"/>
        <v>1.85</v>
      </c>
      <c r="Q173" s="101">
        <f t="shared" si="234"/>
        <v>997.57735000000002</v>
      </c>
      <c r="R173" s="41"/>
      <c r="S173" s="41"/>
    </row>
    <row r="174" spans="1:19">
      <c r="A174" s="63">
        <f>IF(F174&lt;&gt;"",1+MAX($A$2:A173),"")</f>
        <v>129</v>
      </c>
      <c r="B174" s="80"/>
      <c r="C174" s="81"/>
      <c r="D174" s="82" t="s">
        <v>161</v>
      </c>
      <c r="E174" s="47">
        <f>235/1.5*0.376</f>
        <v>58.906666666666666</v>
      </c>
      <c r="F174" s="46">
        <v>0.1</v>
      </c>
      <c r="G174" s="47">
        <f t="shared" si="228"/>
        <v>64.797333333333327</v>
      </c>
      <c r="H174" s="60" t="s">
        <v>47</v>
      </c>
      <c r="I174" s="48">
        <v>1.4999999999999999E-2</v>
      </c>
      <c r="J174" s="49">
        <f t="shared" si="229"/>
        <v>0.97195999999999982</v>
      </c>
      <c r="K174" s="50">
        <v>50</v>
      </c>
      <c r="L174" s="51">
        <f t="shared" si="230"/>
        <v>0.75</v>
      </c>
      <c r="M174" s="51">
        <f t="shared" si="231"/>
        <v>48.597999999999992</v>
      </c>
      <c r="N174" s="51">
        <v>1.1000000000000001</v>
      </c>
      <c r="O174" s="51">
        <f t="shared" si="232"/>
        <v>71.27706666666667</v>
      </c>
      <c r="P174" s="51">
        <f t="shared" si="233"/>
        <v>1.85</v>
      </c>
      <c r="Q174" s="101">
        <f t="shared" si="234"/>
        <v>119.87506666666665</v>
      </c>
      <c r="R174" s="41"/>
      <c r="S174" s="41"/>
    </row>
    <row r="175" spans="1:19">
      <c r="A175" s="63">
        <f>IF(F175&lt;&gt;"",1+MAX($A$2:A174),"")</f>
        <v>130</v>
      </c>
      <c r="B175" s="80"/>
      <c r="C175" s="81"/>
      <c r="D175" s="82" t="s">
        <v>48</v>
      </c>
      <c r="E175" s="47">
        <f>235*1*2</f>
        <v>470</v>
      </c>
      <c r="F175" s="46">
        <v>0.1</v>
      </c>
      <c r="G175" s="47">
        <f t="shared" si="228"/>
        <v>517</v>
      </c>
      <c r="H175" s="60" t="s">
        <v>49</v>
      </c>
      <c r="I175" s="48">
        <v>0.09</v>
      </c>
      <c r="J175" s="49">
        <f t="shared" si="229"/>
        <v>46.53</v>
      </c>
      <c r="K175" s="50">
        <v>50</v>
      </c>
      <c r="L175" s="51">
        <f t="shared" si="230"/>
        <v>4.5</v>
      </c>
      <c r="M175" s="51">
        <f t="shared" si="231"/>
        <v>2326.5</v>
      </c>
      <c r="N175" s="51">
        <v>0</v>
      </c>
      <c r="O175" s="51">
        <f t="shared" si="232"/>
        <v>0</v>
      </c>
      <c r="P175" s="51">
        <f t="shared" si="233"/>
        <v>4.5</v>
      </c>
      <c r="Q175" s="101">
        <f t="shared" si="234"/>
        <v>2326.5</v>
      </c>
      <c r="R175" s="41"/>
      <c r="S175" s="41"/>
    </row>
    <row r="176" spans="1:19">
      <c r="A176" s="63" t="str">
        <f>IF(F176&lt;&gt;"",1+MAX($A$2:A175),"")</f>
        <v/>
      </c>
      <c r="B176" s="80"/>
      <c r="C176" s="81"/>
      <c r="D176" s="82"/>
      <c r="E176" s="47"/>
      <c r="F176" s="46"/>
      <c r="G176" s="47"/>
      <c r="H176" s="60"/>
      <c r="I176" s="48"/>
      <c r="J176" s="49"/>
      <c r="K176" s="50"/>
      <c r="L176" s="51"/>
      <c r="M176" s="51"/>
      <c r="N176" s="51"/>
      <c r="O176" s="51"/>
      <c r="P176" s="51"/>
      <c r="Q176" s="101"/>
      <c r="R176" s="41"/>
      <c r="S176" s="41"/>
    </row>
    <row r="177" spans="1:19" ht="18" customHeight="1">
      <c r="A177" s="63" t="str">
        <f>IF(F177&lt;&gt;"",1+MAX($A$2:A176),"")</f>
        <v/>
      </c>
      <c r="B177" s="55"/>
      <c r="C177" s="67"/>
      <c r="D177" s="111" t="s">
        <v>199</v>
      </c>
      <c r="E177" s="76"/>
      <c r="F177" s="77"/>
      <c r="G177" s="47"/>
      <c r="H177" s="47"/>
      <c r="I177" s="78"/>
      <c r="J177" s="47"/>
      <c r="K177" s="61"/>
      <c r="L177" s="61"/>
      <c r="M177" s="61"/>
      <c r="N177" s="61"/>
      <c r="O177" s="61"/>
      <c r="P177" s="61"/>
      <c r="Q177" s="79"/>
      <c r="R177" s="41"/>
      <c r="S177" s="41"/>
    </row>
    <row r="178" spans="1:19">
      <c r="A178" s="63">
        <f>IF(F178&lt;&gt;"",1+MAX($A$2:A177),"")</f>
        <v>131</v>
      </c>
      <c r="B178" s="80"/>
      <c r="C178" s="81"/>
      <c r="D178" s="209" t="s">
        <v>200</v>
      </c>
      <c r="E178" s="47">
        <f>14*4.5*4.5*1.5/27</f>
        <v>15.75</v>
      </c>
      <c r="F178" s="46">
        <v>0.1</v>
      </c>
      <c r="G178" s="47">
        <f t="shared" ref="G178:G181" si="235">(F178*E178)+E178</f>
        <v>17.324999999999999</v>
      </c>
      <c r="H178" s="60" t="s">
        <v>46</v>
      </c>
      <c r="I178" s="48">
        <v>3</v>
      </c>
      <c r="J178" s="49">
        <f t="shared" ref="J178:J181" si="236">+I178*G178</f>
        <v>51.974999999999994</v>
      </c>
      <c r="K178" s="50">
        <v>50</v>
      </c>
      <c r="L178" s="51">
        <f t="shared" ref="L178:L181" si="237">I178*K178</f>
        <v>150</v>
      </c>
      <c r="M178" s="51">
        <f t="shared" ref="M178:M181" si="238">K178*J178</f>
        <v>2598.7499999999995</v>
      </c>
      <c r="N178" s="51">
        <v>230</v>
      </c>
      <c r="O178" s="51">
        <f t="shared" ref="O178:O181" si="239">N178*G178</f>
        <v>3984.75</v>
      </c>
      <c r="P178" s="51">
        <f t="shared" ref="P178:P181" si="240">(I178*K178)+N178</f>
        <v>380</v>
      </c>
      <c r="Q178" s="101">
        <f t="shared" ref="Q178:Q181" si="241">P178*G178</f>
        <v>6583.5</v>
      </c>
      <c r="R178" s="41"/>
      <c r="S178" s="41"/>
    </row>
    <row r="179" spans="1:19">
      <c r="A179" s="63">
        <f>IF(F179&lt;&gt;"",1+MAX($A$2:A178),"")</f>
        <v>132</v>
      </c>
      <c r="B179" s="80"/>
      <c r="C179" s="81"/>
      <c r="D179" s="82" t="s">
        <v>136</v>
      </c>
      <c r="E179" s="47">
        <f>14*(4+4)*5*1.043*2</f>
        <v>1168.1599999999999</v>
      </c>
      <c r="F179" s="46">
        <v>0.1</v>
      </c>
      <c r="G179" s="47">
        <f t="shared" si="235"/>
        <v>1284.9759999999999</v>
      </c>
      <c r="H179" s="60" t="s">
        <v>47</v>
      </c>
      <c r="I179" s="48">
        <v>1.4999999999999999E-2</v>
      </c>
      <c r="J179" s="49">
        <f t="shared" si="236"/>
        <v>19.274639999999998</v>
      </c>
      <c r="K179" s="50">
        <v>50</v>
      </c>
      <c r="L179" s="51">
        <f t="shared" si="237"/>
        <v>0.75</v>
      </c>
      <c r="M179" s="51">
        <f t="shared" si="238"/>
        <v>963.73199999999986</v>
      </c>
      <c r="N179" s="51">
        <v>1.1000000000000001</v>
      </c>
      <c r="O179" s="51">
        <f t="shared" si="239"/>
        <v>1413.4736</v>
      </c>
      <c r="P179" s="51">
        <f t="shared" si="240"/>
        <v>1.85</v>
      </c>
      <c r="Q179" s="101">
        <f t="shared" si="241"/>
        <v>2377.2055999999998</v>
      </c>
      <c r="R179" s="41"/>
      <c r="S179" s="41"/>
    </row>
    <row r="180" spans="1:19">
      <c r="A180" s="63">
        <f>IF(F180&lt;&gt;"",1+MAX($A$2:A179),"")</f>
        <v>133</v>
      </c>
      <c r="B180" s="80"/>
      <c r="C180" s="81"/>
      <c r="D180" s="82" t="s">
        <v>50</v>
      </c>
      <c r="E180" s="47">
        <f>E178*1.25</f>
        <v>19.6875</v>
      </c>
      <c r="F180" s="46">
        <v>0.1</v>
      </c>
      <c r="G180" s="47">
        <f t="shared" si="235"/>
        <v>21.65625</v>
      </c>
      <c r="H180" s="60" t="s">
        <v>46</v>
      </c>
      <c r="I180" s="48">
        <v>1.1000000000000001</v>
      </c>
      <c r="J180" s="49">
        <f t="shared" si="236"/>
        <v>23.821875000000002</v>
      </c>
      <c r="K180" s="50">
        <v>50</v>
      </c>
      <c r="L180" s="51">
        <f t="shared" si="237"/>
        <v>55.000000000000007</v>
      </c>
      <c r="M180" s="51">
        <f t="shared" si="238"/>
        <v>1191.09375</v>
      </c>
      <c r="N180" s="51">
        <v>0</v>
      </c>
      <c r="O180" s="51">
        <f t="shared" si="239"/>
        <v>0</v>
      </c>
      <c r="P180" s="51">
        <f t="shared" si="240"/>
        <v>55.000000000000007</v>
      </c>
      <c r="Q180" s="101">
        <f t="shared" si="241"/>
        <v>1191.0937500000002</v>
      </c>
      <c r="R180" s="41"/>
      <c r="S180" s="41"/>
    </row>
    <row r="181" spans="1:19">
      <c r="A181" s="63">
        <f>IF(F181&lt;&gt;"",1+MAX($A$2:A180),"")</f>
        <v>134</v>
      </c>
      <c r="B181" s="80"/>
      <c r="C181" s="81"/>
      <c r="D181" s="82" t="s">
        <v>48</v>
      </c>
      <c r="E181" s="47">
        <f>14*(3+3)*1.5*2</f>
        <v>252</v>
      </c>
      <c r="F181" s="46">
        <v>0.1</v>
      </c>
      <c r="G181" s="47">
        <f t="shared" si="235"/>
        <v>277.2</v>
      </c>
      <c r="H181" s="60" t="s">
        <v>49</v>
      </c>
      <c r="I181" s="48">
        <v>0.09</v>
      </c>
      <c r="J181" s="49">
        <f t="shared" si="236"/>
        <v>24.947999999999997</v>
      </c>
      <c r="K181" s="50">
        <v>50</v>
      </c>
      <c r="L181" s="51">
        <f t="shared" si="237"/>
        <v>4.5</v>
      </c>
      <c r="M181" s="51">
        <f t="shared" si="238"/>
        <v>1247.3999999999999</v>
      </c>
      <c r="N181" s="51">
        <v>0</v>
      </c>
      <c r="O181" s="51">
        <f t="shared" si="239"/>
        <v>0</v>
      </c>
      <c r="P181" s="51">
        <f t="shared" si="240"/>
        <v>4.5</v>
      </c>
      <c r="Q181" s="101">
        <f t="shared" si="241"/>
        <v>1247.3999999999999</v>
      </c>
      <c r="R181" s="41"/>
      <c r="S181" s="41"/>
    </row>
    <row r="182" spans="1:19">
      <c r="A182" s="63" t="str">
        <f>IF(F182&lt;&gt;"",1+MAX($A$2:A181),"")</f>
        <v/>
      </c>
      <c r="B182" s="80"/>
      <c r="C182" s="81"/>
      <c r="D182" s="82"/>
      <c r="E182" s="47"/>
      <c r="F182" s="46"/>
      <c r="G182" s="47"/>
      <c r="H182" s="60"/>
      <c r="I182" s="48"/>
      <c r="J182" s="49"/>
      <c r="K182" s="50"/>
      <c r="L182" s="51"/>
      <c r="M182" s="51"/>
      <c r="N182" s="51"/>
      <c r="O182" s="51"/>
      <c r="P182" s="51"/>
      <c r="Q182" s="101"/>
      <c r="R182" s="41"/>
      <c r="S182" s="41"/>
    </row>
    <row r="183" spans="1:19">
      <c r="A183" s="63">
        <f>IF(F183&lt;&gt;"",1+MAX($A$2:A182),"")</f>
        <v>135</v>
      </c>
      <c r="B183" s="80"/>
      <c r="C183" s="81"/>
      <c r="D183" s="209" t="s">
        <v>201</v>
      </c>
      <c r="E183" s="47">
        <f>21*1.33*2/27</f>
        <v>2.068888888888889</v>
      </c>
      <c r="F183" s="46">
        <v>0.1</v>
      </c>
      <c r="G183" s="47">
        <f t="shared" ref="G183:G187" si="242">(F183*E183)+E183</f>
        <v>2.2757777777777779</v>
      </c>
      <c r="H183" s="60" t="s">
        <v>46</v>
      </c>
      <c r="I183" s="48">
        <v>3</v>
      </c>
      <c r="J183" s="49">
        <f t="shared" ref="J183:J187" si="243">+I183*G183</f>
        <v>6.8273333333333337</v>
      </c>
      <c r="K183" s="50">
        <v>50</v>
      </c>
      <c r="L183" s="51">
        <f t="shared" ref="L183:L187" si="244">I183*K183</f>
        <v>150</v>
      </c>
      <c r="M183" s="51">
        <f t="shared" ref="M183:M187" si="245">K183*J183</f>
        <v>341.36666666666667</v>
      </c>
      <c r="N183" s="51">
        <v>230</v>
      </c>
      <c r="O183" s="51">
        <f t="shared" ref="O183:O187" si="246">N183*G183</f>
        <v>523.42888888888888</v>
      </c>
      <c r="P183" s="51">
        <f t="shared" ref="P183:P187" si="247">(I183*K183)+N183</f>
        <v>380</v>
      </c>
      <c r="Q183" s="101">
        <f t="shared" ref="Q183:Q187" si="248">P183*G183</f>
        <v>864.79555555555555</v>
      </c>
      <c r="R183" s="41"/>
      <c r="S183" s="41"/>
    </row>
    <row r="184" spans="1:19">
      <c r="A184" s="63">
        <f>IF(F184&lt;&gt;"",1+MAX($A$2:A183),"")</f>
        <v>136</v>
      </c>
      <c r="B184" s="80"/>
      <c r="C184" s="81"/>
      <c r="D184" s="82" t="s">
        <v>163</v>
      </c>
      <c r="E184" s="47">
        <f>21*6*1.502</f>
        <v>189.25200000000001</v>
      </c>
      <c r="F184" s="46">
        <v>0.1</v>
      </c>
      <c r="G184" s="47">
        <f t="shared" si="242"/>
        <v>208.1772</v>
      </c>
      <c r="H184" s="60" t="s">
        <v>47</v>
      </c>
      <c r="I184" s="48">
        <v>1.4999999999999999E-2</v>
      </c>
      <c r="J184" s="49">
        <f t="shared" si="243"/>
        <v>3.1226579999999999</v>
      </c>
      <c r="K184" s="50">
        <v>50</v>
      </c>
      <c r="L184" s="51">
        <f t="shared" si="244"/>
        <v>0.75</v>
      </c>
      <c r="M184" s="51">
        <f t="shared" si="245"/>
        <v>156.13290000000001</v>
      </c>
      <c r="N184" s="51">
        <v>1.1000000000000001</v>
      </c>
      <c r="O184" s="51">
        <f t="shared" si="246"/>
        <v>228.99492000000001</v>
      </c>
      <c r="P184" s="51">
        <f t="shared" si="247"/>
        <v>1.85</v>
      </c>
      <c r="Q184" s="101">
        <f t="shared" si="248"/>
        <v>385.12782000000004</v>
      </c>
      <c r="R184" s="41"/>
      <c r="S184" s="41"/>
    </row>
    <row r="185" spans="1:19">
      <c r="A185" s="63">
        <f>IF(F185&lt;&gt;"",1+MAX($A$2:A184),"")</f>
        <v>137</v>
      </c>
      <c r="B185" s="80"/>
      <c r="C185" s="81"/>
      <c r="D185" s="82" t="s">
        <v>161</v>
      </c>
      <c r="E185" s="47">
        <f>21/1.5*0.376</f>
        <v>5.2640000000000002</v>
      </c>
      <c r="F185" s="46">
        <v>0.1</v>
      </c>
      <c r="G185" s="47">
        <f t="shared" si="242"/>
        <v>5.7904</v>
      </c>
      <c r="H185" s="60" t="s">
        <v>47</v>
      </c>
      <c r="I185" s="48">
        <v>1.4999999999999999E-2</v>
      </c>
      <c r="J185" s="49">
        <f t="shared" si="243"/>
        <v>8.6856000000000003E-2</v>
      </c>
      <c r="K185" s="50">
        <v>50</v>
      </c>
      <c r="L185" s="51">
        <f t="shared" si="244"/>
        <v>0.75</v>
      </c>
      <c r="M185" s="51">
        <f t="shared" si="245"/>
        <v>4.3428000000000004</v>
      </c>
      <c r="N185" s="51">
        <v>1.1000000000000001</v>
      </c>
      <c r="O185" s="51">
        <f t="shared" si="246"/>
        <v>6.3694400000000009</v>
      </c>
      <c r="P185" s="51">
        <f t="shared" si="247"/>
        <v>1.85</v>
      </c>
      <c r="Q185" s="101">
        <f t="shared" si="248"/>
        <v>10.712240000000001</v>
      </c>
      <c r="R185" s="41"/>
      <c r="S185" s="41"/>
    </row>
    <row r="186" spans="1:19">
      <c r="A186" s="63">
        <f>IF(F186&lt;&gt;"",1+MAX($A$2:A185),"")</f>
        <v>138</v>
      </c>
      <c r="B186" s="80"/>
      <c r="C186" s="81"/>
      <c r="D186" s="82" t="s">
        <v>50</v>
      </c>
      <c r="E186" s="47">
        <f>E183*1.25</f>
        <v>2.5861111111111112</v>
      </c>
      <c r="F186" s="46">
        <v>0.1</v>
      </c>
      <c r="G186" s="47">
        <f t="shared" si="242"/>
        <v>2.8447222222222224</v>
      </c>
      <c r="H186" s="60" t="s">
        <v>46</v>
      </c>
      <c r="I186" s="48">
        <v>1.1000000000000001</v>
      </c>
      <c r="J186" s="49">
        <f t="shared" si="243"/>
        <v>3.1291944444444448</v>
      </c>
      <c r="K186" s="50">
        <v>50</v>
      </c>
      <c r="L186" s="51">
        <f t="shared" si="244"/>
        <v>55.000000000000007</v>
      </c>
      <c r="M186" s="51">
        <f t="shared" si="245"/>
        <v>156.45972222222224</v>
      </c>
      <c r="N186" s="51">
        <v>0</v>
      </c>
      <c r="O186" s="51">
        <f t="shared" si="246"/>
        <v>0</v>
      </c>
      <c r="P186" s="51">
        <f t="shared" si="247"/>
        <v>55.000000000000007</v>
      </c>
      <c r="Q186" s="101">
        <f t="shared" si="248"/>
        <v>156.45972222222224</v>
      </c>
      <c r="R186" s="41"/>
      <c r="S186" s="41"/>
    </row>
    <row r="187" spans="1:19">
      <c r="A187" s="63">
        <f>IF(F187&lt;&gt;"",1+MAX($A$2:A186),"")</f>
        <v>139</v>
      </c>
      <c r="B187" s="80"/>
      <c r="C187" s="81"/>
      <c r="D187" s="82" t="s">
        <v>48</v>
      </c>
      <c r="E187" s="47">
        <f>21*2*2</f>
        <v>84</v>
      </c>
      <c r="F187" s="46">
        <v>0.1</v>
      </c>
      <c r="G187" s="47">
        <f t="shared" si="242"/>
        <v>92.4</v>
      </c>
      <c r="H187" s="60" t="s">
        <v>49</v>
      </c>
      <c r="I187" s="48">
        <v>0.09</v>
      </c>
      <c r="J187" s="49">
        <f t="shared" si="243"/>
        <v>8.3160000000000007</v>
      </c>
      <c r="K187" s="50">
        <v>50</v>
      </c>
      <c r="L187" s="51">
        <f t="shared" si="244"/>
        <v>4.5</v>
      </c>
      <c r="M187" s="51">
        <f t="shared" si="245"/>
        <v>415.8</v>
      </c>
      <c r="N187" s="51">
        <v>0</v>
      </c>
      <c r="O187" s="51">
        <f t="shared" si="246"/>
        <v>0</v>
      </c>
      <c r="P187" s="51">
        <f t="shared" si="247"/>
        <v>4.5</v>
      </c>
      <c r="Q187" s="101">
        <f t="shared" si="248"/>
        <v>415.8</v>
      </c>
      <c r="R187" s="41"/>
      <c r="S187" s="41"/>
    </row>
    <row r="188" spans="1:19">
      <c r="A188" s="63" t="str">
        <f>IF(F188&lt;&gt;"",1+MAX($A$2:A187),"")</f>
        <v/>
      </c>
      <c r="B188" s="80"/>
      <c r="C188" s="81"/>
      <c r="D188" s="82"/>
      <c r="E188" s="47"/>
      <c r="F188" s="46"/>
      <c r="G188" s="47"/>
      <c r="H188" s="60"/>
      <c r="I188" s="48"/>
      <c r="J188" s="49"/>
      <c r="K188" s="50"/>
      <c r="L188" s="51"/>
      <c r="M188" s="51"/>
      <c r="N188" s="51"/>
      <c r="O188" s="51"/>
      <c r="P188" s="51"/>
      <c r="Q188" s="101"/>
      <c r="R188" s="41"/>
      <c r="S188" s="41"/>
    </row>
    <row r="189" spans="1:19">
      <c r="A189" s="63">
        <f>IF(F189&lt;&gt;"",1+MAX($A$2:A188),"")</f>
        <v>140</v>
      </c>
      <c r="B189" s="80"/>
      <c r="C189" s="81"/>
      <c r="D189" s="209" t="s">
        <v>202</v>
      </c>
      <c r="E189" s="47">
        <f>207*1.5*2/27</f>
        <v>23</v>
      </c>
      <c r="F189" s="46">
        <v>0.1</v>
      </c>
      <c r="G189" s="47">
        <f t="shared" ref="G189:G193" si="249">(F189*E189)+E189</f>
        <v>25.3</v>
      </c>
      <c r="H189" s="60" t="s">
        <v>46</v>
      </c>
      <c r="I189" s="48">
        <v>3</v>
      </c>
      <c r="J189" s="49">
        <f t="shared" ref="J189:J193" si="250">+I189*G189</f>
        <v>75.900000000000006</v>
      </c>
      <c r="K189" s="50">
        <v>50</v>
      </c>
      <c r="L189" s="51">
        <f t="shared" ref="L189:L193" si="251">I189*K189</f>
        <v>150</v>
      </c>
      <c r="M189" s="51">
        <f t="shared" ref="M189:M193" si="252">K189*J189</f>
        <v>3795.0000000000005</v>
      </c>
      <c r="N189" s="51">
        <v>230</v>
      </c>
      <c r="O189" s="51">
        <f t="shared" ref="O189:O193" si="253">N189*G189</f>
        <v>5819</v>
      </c>
      <c r="P189" s="51">
        <f t="shared" ref="P189:P193" si="254">(I189*K189)+N189</f>
        <v>380</v>
      </c>
      <c r="Q189" s="101">
        <f t="shared" ref="Q189:Q193" si="255">P189*G189</f>
        <v>9614</v>
      </c>
      <c r="R189" s="41"/>
      <c r="S189" s="41"/>
    </row>
    <row r="190" spans="1:19">
      <c r="A190" s="63">
        <f>IF(F190&lt;&gt;"",1+MAX($A$2:A189),"")</f>
        <v>141</v>
      </c>
      <c r="B190" s="80"/>
      <c r="C190" s="81"/>
      <c r="D190" s="82" t="s">
        <v>163</v>
      </c>
      <c r="E190" s="47">
        <f>207*6*1.502</f>
        <v>1865.4839999999999</v>
      </c>
      <c r="F190" s="46">
        <v>0.1</v>
      </c>
      <c r="G190" s="47">
        <f t="shared" si="249"/>
        <v>2052.0324000000001</v>
      </c>
      <c r="H190" s="60" t="s">
        <v>47</v>
      </c>
      <c r="I190" s="48">
        <v>1.4999999999999999E-2</v>
      </c>
      <c r="J190" s="49">
        <f t="shared" si="250"/>
        <v>30.780486</v>
      </c>
      <c r="K190" s="50">
        <v>50</v>
      </c>
      <c r="L190" s="51">
        <f t="shared" si="251"/>
        <v>0.75</v>
      </c>
      <c r="M190" s="51">
        <f t="shared" si="252"/>
        <v>1539.0243</v>
      </c>
      <c r="N190" s="51">
        <v>1.1000000000000001</v>
      </c>
      <c r="O190" s="51">
        <f t="shared" si="253"/>
        <v>2257.2356400000003</v>
      </c>
      <c r="P190" s="51">
        <f t="shared" si="254"/>
        <v>1.85</v>
      </c>
      <c r="Q190" s="101">
        <f t="shared" si="255"/>
        <v>3796.2599400000004</v>
      </c>
      <c r="R190" s="41"/>
      <c r="S190" s="41"/>
    </row>
    <row r="191" spans="1:19">
      <c r="A191" s="63">
        <f>IF(F191&lt;&gt;"",1+MAX($A$2:A190),"")</f>
        <v>142</v>
      </c>
      <c r="B191" s="80"/>
      <c r="C191" s="81"/>
      <c r="D191" s="82" t="s">
        <v>161</v>
      </c>
      <c r="E191" s="47">
        <f>207/1.5*0.376</f>
        <v>51.887999999999998</v>
      </c>
      <c r="F191" s="46">
        <v>0.1</v>
      </c>
      <c r="G191" s="47">
        <f t="shared" si="249"/>
        <v>57.076799999999999</v>
      </c>
      <c r="H191" s="60" t="s">
        <v>47</v>
      </c>
      <c r="I191" s="48">
        <v>1.4999999999999999E-2</v>
      </c>
      <c r="J191" s="49">
        <f t="shared" si="250"/>
        <v>0.85615199999999991</v>
      </c>
      <c r="K191" s="50">
        <v>50</v>
      </c>
      <c r="L191" s="51">
        <f t="shared" si="251"/>
        <v>0.75</v>
      </c>
      <c r="M191" s="51">
        <f t="shared" si="252"/>
        <v>42.807599999999994</v>
      </c>
      <c r="N191" s="51">
        <v>1.1000000000000001</v>
      </c>
      <c r="O191" s="51">
        <f t="shared" si="253"/>
        <v>62.784480000000002</v>
      </c>
      <c r="P191" s="51">
        <f t="shared" si="254"/>
        <v>1.85</v>
      </c>
      <c r="Q191" s="101">
        <f t="shared" si="255"/>
        <v>105.59208</v>
      </c>
      <c r="R191" s="41"/>
      <c r="S191" s="41"/>
    </row>
    <row r="192" spans="1:19">
      <c r="A192" s="63">
        <f>IF(F192&lt;&gt;"",1+MAX($A$2:A191),"")</f>
        <v>143</v>
      </c>
      <c r="B192" s="80"/>
      <c r="C192" s="81"/>
      <c r="D192" s="82" t="s">
        <v>50</v>
      </c>
      <c r="E192" s="47">
        <f>E189*1.25</f>
        <v>28.75</v>
      </c>
      <c r="F192" s="46">
        <v>0.1</v>
      </c>
      <c r="G192" s="47">
        <f t="shared" si="249"/>
        <v>31.625</v>
      </c>
      <c r="H192" s="60" t="s">
        <v>46</v>
      </c>
      <c r="I192" s="48">
        <v>1.1000000000000001</v>
      </c>
      <c r="J192" s="49">
        <f t="shared" si="250"/>
        <v>34.787500000000001</v>
      </c>
      <c r="K192" s="50">
        <v>50</v>
      </c>
      <c r="L192" s="51">
        <f t="shared" si="251"/>
        <v>55.000000000000007</v>
      </c>
      <c r="M192" s="51">
        <f t="shared" si="252"/>
        <v>1739.375</v>
      </c>
      <c r="N192" s="51">
        <v>0</v>
      </c>
      <c r="O192" s="51">
        <f t="shared" si="253"/>
        <v>0</v>
      </c>
      <c r="P192" s="51">
        <f t="shared" si="254"/>
        <v>55.000000000000007</v>
      </c>
      <c r="Q192" s="101">
        <f t="shared" si="255"/>
        <v>1739.3750000000002</v>
      </c>
      <c r="R192" s="41"/>
      <c r="S192" s="41"/>
    </row>
    <row r="193" spans="1:19">
      <c r="A193" s="63">
        <f>IF(F193&lt;&gt;"",1+MAX($A$2:A192),"")</f>
        <v>144</v>
      </c>
      <c r="B193" s="80"/>
      <c r="C193" s="81"/>
      <c r="D193" s="82" t="s">
        <v>48</v>
      </c>
      <c r="E193" s="47">
        <f>207*2*2</f>
        <v>828</v>
      </c>
      <c r="F193" s="46">
        <v>0.1</v>
      </c>
      <c r="G193" s="47">
        <f t="shared" si="249"/>
        <v>910.8</v>
      </c>
      <c r="H193" s="60" t="s">
        <v>49</v>
      </c>
      <c r="I193" s="48">
        <v>0.09</v>
      </c>
      <c r="J193" s="49">
        <f t="shared" si="250"/>
        <v>81.971999999999994</v>
      </c>
      <c r="K193" s="50">
        <v>50</v>
      </c>
      <c r="L193" s="51">
        <f t="shared" si="251"/>
        <v>4.5</v>
      </c>
      <c r="M193" s="51">
        <f t="shared" si="252"/>
        <v>4098.5999999999995</v>
      </c>
      <c r="N193" s="51">
        <v>0</v>
      </c>
      <c r="O193" s="51">
        <f t="shared" si="253"/>
        <v>0</v>
      </c>
      <c r="P193" s="51">
        <f t="shared" si="254"/>
        <v>4.5</v>
      </c>
      <c r="Q193" s="101">
        <f t="shared" si="255"/>
        <v>4098.5999999999995</v>
      </c>
      <c r="R193" s="41"/>
      <c r="S193" s="41"/>
    </row>
    <row r="194" spans="1:19">
      <c r="A194" s="63" t="str">
        <f>IF(F194&lt;&gt;"",1+MAX($A$2:A193),"")</f>
        <v/>
      </c>
      <c r="B194" s="80"/>
      <c r="C194" s="81"/>
      <c r="D194" s="82"/>
      <c r="E194" s="47"/>
      <c r="F194" s="46"/>
      <c r="G194" s="47"/>
      <c r="H194" s="60"/>
      <c r="I194" s="48"/>
      <c r="J194" s="49"/>
      <c r="K194" s="50"/>
      <c r="L194" s="51"/>
      <c r="M194" s="51"/>
      <c r="N194" s="51"/>
      <c r="O194" s="51"/>
      <c r="P194" s="51"/>
      <c r="Q194" s="101"/>
      <c r="R194" s="41"/>
      <c r="S194" s="41"/>
    </row>
    <row r="195" spans="1:19">
      <c r="A195" s="63">
        <f>IF(F195&lt;&gt;"",1+MAX($A$2:A194),"")</f>
        <v>145</v>
      </c>
      <c r="B195" s="80"/>
      <c r="C195" s="81"/>
      <c r="D195" s="209" t="s">
        <v>203</v>
      </c>
      <c r="E195" s="47">
        <f>1383*0.417/27</f>
        <v>21.359666666666666</v>
      </c>
      <c r="F195" s="46">
        <v>0.1</v>
      </c>
      <c r="G195" s="47">
        <f t="shared" ref="G195:G196" si="256">(F195*E195)+E195</f>
        <v>23.49563333333333</v>
      </c>
      <c r="H195" s="60" t="s">
        <v>46</v>
      </c>
      <c r="I195" s="48">
        <v>3</v>
      </c>
      <c r="J195" s="49">
        <f t="shared" ref="J195:J196" si="257">+I195*G195</f>
        <v>70.486899999999991</v>
      </c>
      <c r="K195" s="50">
        <v>50</v>
      </c>
      <c r="L195" s="51">
        <f t="shared" ref="L195:L196" si="258">I195*K195</f>
        <v>150</v>
      </c>
      <c r="M195" s="51">
        <f t="shared" ref="M195:M196" si="259">K195*J195</f>
        <v>3524.3449999999993</v>
      </c>
      <c r="N195" s="51">
        <v>230</v>
      </c>
      <c r="O195" s="51">
        <f t="shared" ref="O195:O196" si="260">N195*G195</f>
        <v>5403.9956666666658</v>
      </c>
      <c r="P195" s="51">
        <f t="shared" ref="P195:P196" si="261">(I195*K195)+N195</f>
        <v>380</v>
      </c>
      <c r="Q195" s="101">
        <f t="shared" ref="Q195:Q196" si="262">P195*G195</f>
        <v>8928.3406666666651</v>
      </c>
      <c r="R195" s="41"/>
      <c r="S195" s="41"/>
    </row>
    <row r="196" spans="1:19">
      <c r="A196" s="63">
        <f>IF(F196&lt;&gt;"",1+MAX($A$2:A195),"")</f>
        <v>146</v>
      </c>
      <c r="B196" s="80"/>
      <c r="C196" s="81"/>
      <c r="D196" s="82" t="s">
        <v>204</v>
      </c>
      <c r="E196" s="47">
        <f>1383/1.33*0.376*2</f>
        <v>781.966917293233</v>
      </c>
      <c r="F196" s="46">
        <v>0.1</v>
      </c>
      <c r="G196" s="47">
        <f t="shared" si="256"/>
        <v>860.16360902255633</v>
      </c>
      <c r="H196" s="60" t="s">
        <v>47</v>
      </c>
      <c r="I196" s="48">
        <v>1.4999999999999999E-2</v>
      </c>
      <c r="J196" s="49">
        <f t="shared" si="257"/>
        <v>12.902454135338344</v>
      </c>
      <c r="K196" s="50">
        <v>50</v>
      </c>
      <c r="L196" s="51">
        <f t="shared" si="258"/>
        <v>0.75</v>
      </c>
      <c r="M196" s="51">
        <f t="shared" si="259"/>
        <v>645.12270676691719</v>
      </c>
      <c r="N196" s="51">
        <v>1.1000000000000001</v>
      </c>
      <c r="O196" s="51">
        <f t="shared" si="260"/>
        <v>946.17996992481199</v>
      </c>
      <c r="P196" s="51">
        <f t="shared" si="261"/>
        <v>1.85</v>
      </c>
      <c r="Q196" s="101">
        <f t="shared" si="262"/>
        <v>1591.3026766917292</v>
      </c>
      <c r="R196" s="41"/>
      <c r="S196" s="41"/>
    </row>
    <row r="197" spans="1:19">
      <c r="A197" s="63" t="str">
        <f>IF(F197&lt;&gt;"",1+MAX($A$2:A196),"")</f>
        <v/>
      </c>
      <c r="B197" s="80"/>
      <c r="C197" s="81"/>
      <c r="D197" s="82"/>
      <c r="E197" s="47"/>
      <c r="F197" s="46"/>
      <c r="G197" s="47"/>
      <c r="H197" s="60"/>
      <c r="I197" s="48"/>
      <c r="J197" s="49"/>
      <c r="K197" s="50"/>
      <c r="L197" s="51"/>
      <c r="M197" s="51"/>
      <c r="N197" s="51"/>
      <c r="O197" s="51"/>
      <c r="P197" s="51"/>
      <c r="Q197" s="101"/>
      <c r="R197" s="41"/>
      <c r="S197" s="41"/>
    </row>
    <row r="198" spans="1:19">
      <c r="A198" s="63">
        <f>IF(F198&lt;&gt;"",1+MAX($A$2:A197),"")</f>
        <v>147</v>
      </c>
      <c r="B198" s="80"/>
      <c r="C198" s="81"/>
      <c r="D198" s="209" t="s">
        <v>205</v>
      </c>
      <c r="E198" s="47">
        <f>584*1/27</f>
        <v>21.62962962962963</v>
      </c>
      <c r="F198" s="46">
        <v>0.1</v>
      </c>
      <c r="G198" s="47">
        <f t="shared" ref="G198" si="263">(F198*E198)+E198</f>
        <v>23.792592592592591</v>
      </c>
      <c r="H198" s="60" t="s">
        <v>46</v>
      </c>
      <c r="I198" s="48">
        <v>3</v>
      </c>
      <c r="J198" s="49">
        <f t="shared" ref="J198:J199" si="264">+I198*G198</f>
        <v>71.377777777777766</v>
      </c>
      <c r="K198" s="50">
        <v>50</v>
      </c>
      <c r="L198" s="51">
        <f t="shared" ref="L198:L199" si="265">I198*K198</f>
        <v>150</v>
      </c>
      <c r="M198" s="51">
        <f t="shared" ref="M198:M199" si="266">K198*J198</f>
        <v>3568.8888888888882</v>
      </c>
      <c r="N198" s="51">
        <v>230</v>
      </c>
      <c r="O198" s="51">
        <f t="shared" ref="O198" si="267">N198*G198</f>
        <v>5472.2962962962956</v>
      </c>
      <c r="P198" s="51">
        <f t="shared" ref="P198" si="268">(I198*K198)+N198</f>
        <v>380</v>
      </c>
      <c r="Q198" s="101">
        <f t="shared" ref="Q198" si="269">P198*G198</f>
        <v>9041.1851851851843</v>
      </c>
      <c r="R198" s="41"/>
      <c r="S198" s="41"/>
    </row>
    <row r="199" spans="1:19">
      <c r="A199" s="63">
        <f>IF(F199&lt;&gt;"",1+MAX($A$2:A198),"")</f>
        <v>148</v>
      </c>
      <c r="B199" s="80"/>
      <c r="C199" s="81"/>
      <c r="D199" s="82" t="s">
        <v>206</v>
      </c>
      <c r="E199" s="47">
        <f>584/1*2*1.043</f>
        <v>1218.2239999999999</v>
      </c>
      <c r="F199" s="46">
        <v>0.1</v>
      </c>
      <c r="G199" s="47">
        <f t="shared" ref="G199" si="270">(F199*E199)+E199</f>
        <v>1340.0463999999999</v>
      </c>
      <c r="H199" s="60" t="s">
        <v>47</v>
      </c>
      <c r="I199" s="48">
        <v>1.4999999999999999E-2</v>
      </c>
      <c r="J199" s="49">
        <f t="shared" si="264"/>
        <v>20.100695999999999</v>
      </c>
      <c r="K199" s="50">
        <v>50</v>
      </c>
      <c r="L199" s="51">
        <f t="shared" si="265"/>
        <v>0.75</v>
      </c>
      <c r="M199" s="51">
        <f t="shared" si="266"/>
        <v>1005.0347999999999</v>
      </c>
      <c r="N199" s="51">
        <v>1.1000000000000001</v>
      </c>
      <c r="O199" s="51">
        <f t="shared" ref="O199" si="271">N199*G199</f>
        <v>1474.0510400000001</v>
      </c>
      <c r="P199" s="51">
        <f t="shared" ref="P199" si="272">(I199*K199)+N199</f>
        <v>1.85</v>
      </c>
      <c r="Q199" s="101">
        <f t="shared" ref="Q199" si="273">P199*G199</f>
        <v>2479.0858400000002</v>
      </c>
      <c r="R199" s="41"/>
      <c r="S199" s="41"/>
    </row>
    <row r="200" spans="1:19">
      <c r="A200" s="63" t="str">
        <f>IF(F200&lt;&gt;"",1+MAX($A$2:A199),"")</f>
        <v/>
      </c>
      <c r="B200" s="80"/>
      <c r="C200" s="81"/>
      <c r="D200" s="82"/>
      <c r="E200" s="47"/>
      <c r="F200" s="46"/>
      <c r="G200" s="47"/>
      <c r="H200" s="60"/>
      <c r="I200" s="48"/>
      <c r="J200" s="49"/>
      <c r="K200" s="50"/>
      <c r="L200" s="51"/>
      <c r="M200" s="51"/>
      <c r="N200" s="51"/>
      <c r="O200" s="51"/>
      <c r="P200" s="51"/>
      <c r="Q200" s="101"/>
      <c r="R200" s="41"/>
      <c r="S200" s="41"/>
    </row>
    <row r="201" spans="1:19" ht="18" customHeight="1">
      <c r="A201" s="63" t="str">
        <f>IF(F201&lt;&gt;"",1+MAX($A$2:A200),"")</f>
        <v/>
      </c>
      <c r="B201" s="55"/>
      <c r="C201" s="67"/>
      <c r="D201" s="111" t="s">
        <v>230</v>
      </c>
      <c r="E201" s="76"/>
      <c r="F201" s="77"/>
      <c r="G201" s="47"/>
      <c r="H201" s="47"/>
      <c r="I201" s="78"/>
      <c r="J201" s="47"/>
      <c r="K201" s="61"/>
      <c r="L201" s="61"/>
      <c r="M201" s="61"/>
      <c r="N201" s="61"/>
      <c r="O201" s="61"/>
      <c r="P201" s="61"/>
      <c r="Q201" s="79"/>
      <c r="R201" s="41"/>
      <c r="S201" s="41"/>
    </row>
    <row r="202" spans="1:19">
      <c r="A202" s="63">
        <f>IF(F202&lt;&gt;"",1+MAX($A$2:A201),"")</f>
        <v>149</v>
      </c>
      <c r="B202" s="80"/>
      <c r="C202" s="81"/>
      <c r="D202" s="209" t="s">
        <v>231</v>
      </c>
      <c r="E202" s="47">
        <f>0.5*450181.54/27</f>
        <v>8336.6951851851845</v>
      </c>
      <c r="F202" s="46">
        <v>0.1</v>
      </c>
      <c r="G202" s="47">
        <f t="shared" ref="G202:G203" si="274">(F202*E202)+E202</f>
        <v>9170.3647037037026</v>
      </c>
      <c r="H202" s="60" t="s">
        <v>46</v>
      </c>
      <c r="I202" s="48">
        <v>3</v>
      </c>
      <c r="J202" s="49">
        <f t="shared" ref="J202:J203" si="275">+I202*G202</f>
        <v>27511.09411111111</v>
      </c>
      <c r="K202" s="50">
        <v>50</v>
      </c>
      <c r="L202" s="51">
        <f t="shared" ref="L202:L203" si="276">I202*K202</f>
        <v>150</v>
      </c>
      <c r="M202" s="51">
        <f t="shared" ref="M202:M203" si="277">K202*J202</f>
        <v>1375554.7055555554</v>
      </c>
      <c r="N202" s="51">
        <v>230</v>
      </c>
      <c r="O202" s="51">
        <f t="shared" ref="O202:O203" si="278">N202*G202</f>
        <v>2109183.8818518515</v>
      </c>
      <c r="P202" s="51">
        <f t="shared" ref="P202:P203" si="279">(I202*K202)+N202</f>
        <v>380</v>
      </c>
      <c r="Q202" s="101">
        <f t="shared" ref="Q202:Q203" si="280">P202*G202</f>
        <v>3484738.5874074069</v>
      </c>
      <c r="R202" s="41"/>
      <c r="S202" s="41"/>
    </row>
    <row r="203" spans="1:19">
      <c r="A203" s="63">
        <f>IF(F203&lt;&gt;"",1+MAX($A$2:A202),"")</f>
        <v>150</v>
      </c>
      <c r="B203" s="80"/>
      <c r="C203" s="81"/>
      <c r="D203" s="82" t="s">
        <v>232</v>
      </c>
      <c r="E203" s="47">
        <f>450181.54/1.33*0.376</f>
        <v>127269.36769924812</v>
      </c>
      <c r="F203" s="46">
        <v>0.1</v>
      </c>
      <c r="G203" s="47">
        <f t="shared" si="274"/>
        <v>139996.30446917293</v>
      </c>
      <c r="H203" s="60" t="s">
        <v>47</v>
      </c>
      <c r="I203" s="48">
        <v>1.4999999999999999E-2</v>
      </c>
      <c r="J203" s="49">
        <f t="shared" si="275"/>
        <v>2099.944567037594</v>
      </c>
      <c r="K203" s="50">
        <v>50</v>
      </c>
      <c r="L203" s="51">
        <f t="shared" si="276"/>
        <v>0.75</v>
      </c>
      <c r="M203" s="51">
        <f t="shared" si="277"/>
        <v>104997.2283518797</v>
      </c>
      <c r="N203" s="51">
        <v>1.1000000000000001</v>
      </c>
      <c r="O203" s="51">
        <f t="shared" si="278"/>
        <v>153995.93491609025</v>
      </c>
      <c r="P203" s="51">
        <f t="shared" si="279"/>
        <v>1.85</v>
      </c>
      <c r="Q203" s="101">
        <f t="shared" si="280"/>
        <v>258993.16326796994</v>
      </c>
      <c r="R203" s="41"/>
      <c r="S203" s="41"/>
    </row>
    <row r="204" spans="1:19">
      <c r="A204" s="63" t="str">
        <f>IF(F204&lt;&gt;"",1+MAX($A$2:A203),"")</f>
        <v/>
      </c>
      <c r="B204" s="80"/>
      <c r="C204" s="81"/>
      <c r="D204" s="82"/>
      <c r="E204" s="47"/>
      <c r="F204" s="46"/>
      <c r="G204" s="47"/>
      <c r="H204" s="60"/>
      <c r="I204" s="48"/>
      <c r="J204" s="49"/>
      <c r="K204" s="50"/>
      <c r="L204" s="51"/>
      <c r="M204" s="51"/>
      <c r="N204" s="51"/>
      <c r="O204" s="51"/>
      <c r="P204" s="51"/>
      <c r="Q204" s="101"/>
      <c r="R204" s="41"/>
      <c r="S204" s="41"/>
    </row>
    <row r="205" spans="1:19">
      <c r="A205" s="63">
        <f>IF(F205&lt;&gt;"",1+MAX($A$2:A204),"")</f>
        <v>151</v>
      </c>
      <c r="B205" s="80"/>
      <c r="C205" s="81"/>
      <c r="D205" s="209" t="s">
        <v>233</v>
      </c>
      <c r="E205" s="47">
        <f>0.5*19130.88/27</f>
        <v>354.27555555555557</v>
      </c>
      <c r="F205" s="46">
        <v>0.1</v>
      </c>
      <c r="G205" s="47">
        <f t="shared" ref="G205:G206" si="281">(F205*E205)+E205</f>
        <v>389.70311111111113</v>
      </c>
      <c r="H205" s="60" t="s">
        <v>46</v>
      </c>
      <c r="I205" s="48">
        <v>3</v>
      </c>
      <c r="J205" s="49">
        <f t="shared" ref="J205:J206" si="282">+I205*G205</f>
        <v>1169.1093333333333</v>
      </c>
      <c r="K205" s="50">
        <v>50</v>
      </c>
      <c r="L205" s="51">
        <f t="shared" ref="L205:L206" si="283">I205*K205</f>
        <v>150</v>
      </c>
      <c r="M205" s="51">
        <f t="shared" ref="M205:M206" si="284">K205*J205</f>
        <v>58455.466666666667</v>
      </c>
      <c r="N205" s="51">
        <v>230</v>
      </c>
      <c r="O205" s="51">
        <f t="shared" ref="O205:O206" si="285">N205*G205</f>
        <v>89631.715555555566</v>
      </c>
      <c r="P205" s="51">
        <f t="shared" ref="P205:P206" si="286">(I205*K205)+N205</f>
        <v>380</v>
      </c>
      <c r="Q205" s="101">
        <f t="shared" ref="Q205:Q206" si="287">P205*G205</f>
        <v>148087.18222222224</v>
      </c>
      <c r="R205" s="41"/>
      <c r="S205" s="41"/>
    </row>
    <row r="206" spans="1:19">
      <c r="A206" s="63">
        <f>IF(F206&lt;&gt;"",1+MAX($A$2:A205),"")</f>
        <v>152</v>
      </c>
      <c r="B206" s="80"/>
      <c r="C206" s="81"/>
      <c r="D206" s="82" t="s">
        <v>232</v>
      </c>
      <c r="E206" s="47">
        <f>19130.88/1.333*0.376</f>
        <v>5396.2572243060768</v>
      </c>
      <c r="F206" s="46">
        <v>0.1</v>
      </c>
      <c r="G206" s="47">
        <f t="shared" si="281"/>
        <v>5935.8829467366841</v>
      </c>
      <c r="H206" s="60" t="s">
        <v>47</v>
      </c>
      <c r="I206" s="48">
        <v>1.4999999999999999E-2</v>
      </c>
      <c r="J206" s="49">
        <f t="shared" si="282"/>
        <v>89.038244201050261</v>
      </c>
      <c r="K206" s="50">
        <v>50</v>
      </c>
      <c r="L206" s="51">
        <f t="shared" si="283"/>
        <v>0.75</v>
      </c>
      <c r="M206" s="51">
        <f t="shared" si="284"/>
        <v>4451.9122100525128</v>
      </c>
      <c r="N206" s="51">
        <v>1.1000000000000001</v>
      </c>
      <c r="O206" s="51">
        <f t="shared" si="285"/>
        <v>6529.4712414103533</v>
      </c>
      <c r="P206" s="51">
        <f t="shared" si="286"/>
        <v>1.85</v>
      </c>
      <c r="Q206" s="101">
        <f t="shared" si="287"/>
        <v>10981.383451462865</v>
      </c>
      <c r="R206" s="41"/>
      <c r="S206" s="41"/>
    </row>
    <row r="207" spans="1:19">
      <c r="A207" s="63" t="str">
        <f>IF(F207&lt;&gt;"",1+MAX($A$2:A206),"")</f>
        <v/>
      </c>
      <c r="B207" s="80"/>
      <c r="C207" s="81"/>
      <c r="D207" s="82"/>
      <c r="E207" s="47"/>
      <c r="F207" s="46"/>
      <c r="G207" s="47"/>
      <c r="H207" s="60"/>
      <c r="I207" s="48"/>
      <c r="J207" s="49"/>
      <c r="K207" s="50"/>
      <c r="L207" s="51"/>
      <c r="M207" s="51"/>
      <c r="N207" s="51"/>
      <c r="O207" s="51"/>
      <c r="P207" s="51"/>
      <c r="Q207" s="101"/>
      <c r="R207" s="41"/>
      <c r="S207" s="41"/>
    </row>
    <row r="208" spans="1:19">
      <c r="A208" s="63">
        <f>IF(F208&lt;&gt;"",1+MAX($A$2:A207),"")</f>
        <v>153</v>
      </c>
      <c r="B208" s="80"/>
      <c r="C208" s="81"/>
      <c r="D208" s="209" t="s">
        <v>234</v>
      </c>
      <c r="E208" s="47">
        <f>0.5*18185.15/27</f>
        <v>336.76203703703709</v>
      </c>
      <c r="F208" s="46">
        <v>0.1</v>
      </c>
      <c r="G208" s="47">
        <f t="shared" ref="G208:G209" si="288">(F208*E208)+E208</f>
        <v>370.43824074074081</v>
      </c>
      <c r="H208" s="60" t="s">
        <v>46</v>
      </c>
      <c r="I208" s="48">
        <v>3</v>
      </c>
      <c r="J208" s="49">
        <f t="shared" ref="J208:J209" si="289">+I208*G208</f>
        <v>1111.3147222222224</v>
      </c>
      <c r="K208" s="50">
        <v>50</v>
      </c>
      <c r="L208" s="51">
        <f t="shared" ref="L208:L209" si="290">I208*K208</f>
        <v>150</v>
      </c>
      <c r="M208" s="51">
        <f t="shared" ref="M208:M209" si="291">K208*J208</f>
        <v>55565.736111111117</v>
      </c>
      <c r="N208" s="51">
        <v>230</v>
      </c>
      <c r="O208" s="51">
        <f t="shared" ref="O208:O209" si="292">N208*G208</f>
        <v>85200.795370370382</v>
      </c>
      <c r="P208" s="51">
        <f t="shared" ref="P208:P209" si="293">(I208*K208)+N208</f>
        <v>380</v>
      </c>
      <c r="Q208" s="101">
        <f t="shared" ref="Q208:Q209" si="294">P208*G208</f>
        <v>140766.53148148151</v>
      </c>
      <c r="R208" s="41"/>
      <c r="S208" s="41"/>
    </row>
    <row r="209" spans="1:19">
      <c r="A209" s="63">
        <f>IF(F209&lt;&gt;"",1+MAX($A$2:A208),"")</f>
        <v>154</v>
      </c>
      <c r="B209" s="80"/>
      <c r="C209" s="81"/>
      <c r="D209" s="82" t="s">
        <v>232</v>
      </c>
      <c r="E209" s="47">
        <f>18185.15/1.33*0.376</f>
        <v>5141.0649624060152</v>
      </c>
      <c r="F209" s="46">
        <v>0.1</v>
      </c>
      <c r="G209" s="47">
        <f t="shared" si="288"/>
        <v>5655.1714586466169</v>
      </c>
      <c r="H209" s="60" t="s">
        <v>47</v>
      </c>
      <c r="I209" s="48">
        <v>1.4999999999999999E-2</v>
      </c>
      <c r="J209" s="49">
        <f t="shared" si="289"/>
        <v>84.827571879699249</v>
      </c>
      <c r="K209" s="50">
        <v>50</v>
      </c>
      <c r="L209" s="51">
        <f t="shared" si="290"/>
        <v>0.75</v>
      </c>
      <c r="M209" s="51">
        <f t="shared" si="291"/>
        <v>4241.3785939849622</v>
      </c>
      <c r="N209" s="51">
        <v>1.1000000000000001</v>
      </c>
      <c r="O209" s="51">
        <f t="shared" si="292"/>
        <v>6220.6886045112788</v>
      </c>
      <c r="P209" s="51">
        <f t="shared" si="293"/>
        <v>1.85</v>
      </c>
      <c r="Q209" s="101">
        <f t="shared" si="294"/>
        <v>10462.067198496241</v>
      </c>
      <c r="R209" s="41"/>
      <c r="S209" s="41"/>
    </row>
    <row r="210" spans="1:19">
      <c r="A210" s="63" t="str">
        <f>IF(F210&lt;&gt;"",1+MAX($A$2:A209),"")</f>
        <v/>
      </c>
      <c r="B210" s="80"/>
      <c r="C210" s="81"/>
      <c r="D210" s="82"/>
      <c r="E210" s="47"/>
      <c r="F210" s="46"/>
      <c r="G210" s="47"/>
      <c r="H210" s="60"/>
      <c r="I210" s="48"/>
      <c r="J210" s="49"/>
      <c r="K210" s="50"/>
      <c r="L210" s="51"/>
      <c r="M210" s="51"/>
      <c r="N210" s="51"/>
      <c r="O210" s="51"/>
      <c r="P210" s="51"/>
      <c r="Q210" s="101"/>
      <c r="R210" s="41"/>
      <c r="S210" s="41"/>
    </row>
    <row r="211" spans="1:19">
      <c r="A211" s="63">
        <f>IF(F211&lt;&gt;"",1+MAX($A$2:A210),"")</f>
        <v>155</v>
      </c>
      <c r="B211" s="80"/>
      <c r="C211" s="81"/>
      <c r="D211" s="209" t="s">
        <v>235</v>
      </c>
      <c r="E211" s="47">
        <f>0.5*61020.2/27</f>
        <v>1130.0037037037036</v>
      </c>
      <c r="F211" s="46">
        <v>0.1</v>
      </c>
      <c r="G211" s="47">
        <f t="shared" ref="G211:G212" si="295">(F211*E211)+E211</f>
        <v>1243.004074074074</v>
      </c>
      <c r="H211" s="60" t="s">
        <v>46</v>
      </c>
      <c r="I211" s="48">
        <v>3</v>
      </c>
      <c r="J211" s="49">
        <f t="shared" ref="J211:J212" si="296">+I211*G211</f>
        <v>3729.0122222222217</v>
      </c>
      <c r="K211" s="50">
        <v>50</v>
      </c>
      <c r="L211" s="51">
        <f t="shared" ref="L211:L212" si="297">I211*K211</f>
        <v>150</v>
      </c>
      <c r="M211" s="51">
        <f t="shared" ref="M211:M212" si="298">K211*J211</f>
        <v>186450.61111111109</v>
      </c>
      <c r="N211" s="51">
        <v>230</v>
      </c>
      <c r="O211" s="51">
        <f t="shared" ref="O211:O212" si="299">N211*G211</f>
        <v>285890.93703703699</v>
      </c>
      <c r="P211" s="51">
        <f t="shared" ref="P211:P212" si="300">(I211*K211)+N211</f>
        <v>380</v>
      </c>
      <c r="Q211" s="101">
        <f t="shared" ref="Q211:Q212" si="301">P211*G211</f>
        <v>472341.54814814811</v>
      </c>
      <c r="R211" s="41"/>
      <c r="S211" s="41"/>
    </row>
    <row r="212" spans="1:19">
      <c r="A212" s="63">
        <f>IF(F212&lt;&gt;"",1+MAX($A$2:A211),"")</f>
        <v>156</v>
      </c>
      <c r="B212" s="80"/>
      <c r="C212" s="81"/>
      <c r="D212" s="82" t="s">
        <v>232</v>
      </c>
      <c r="E212" s="47">
        <f>61020.2/1.33*0.376</f>
        <v>17250.823458646613</v>
      </c>
      <c r="F212" s="46">
        <v>0.1</v>
      </c>
      <c r="G212" s="47">
        <f t="shared" si="295"/>
        <v>18975.905804511276</v>
      </c>
      <c r="H212" s="60" t="s">
        <v>47</v>
      </c>
      <c r="I212" s="48">
        <v>1.4999999999999999E-2</v>
      </c>
      <c r="J212" s="49">
        <f t="shared" si="296"/>
        <v>284.63858706766911</v>
      </c>
      <c r="K212" s="50">
        <v>50</v>
      </c>
      <c r="L212" s="51">
        <f t="shared" si="297"/>
        <v>0.75</v>
      </c>
      <c r="M212" s="51">
        <f t="shared" si="298"/>
        <v>14231.929353383455</v>
      </c>
      <c r="N212" s="51">
        <v>1.1000000000000001</v>
      </c>
      <c r="O212" s="51">
        <f t="shared" si="299"/>
        <v>20873.496384962404</v>
      </c>
      <c r="P212" s="51">
        <f t="shared" si="300"/>
        <v>1.85</v>
      </c>
      <c r="Q212" s="101">
        <f t="shared" si="301"/>
        <v>35105.425738345861</v>
      </c>
      <c r="R212" s="41"/>
      <c r="S212" s="41"/>
    </row>
    <row r="213" spans="1:19">
      <c r="A213" s="63" t="str">
        <f>IF(F213&lt;&gt;"",1+MAX($A$2:A212),"")</f>
        <v/>
      </c>
      <c r="B213" s="80"/>
      <c r="C213" s="81"/>
      <c r="D213" s="82"/>
      <c r="E213" s="47"/>
      <c r="F213" s="46"/>
      <c r="G213" s="47"/>
      <c r="H213" s="60"/>
      <c r="I213" s="48"/>
      <c r="J213" s="49"/>
      <c r="K213" s="50"/>
      <c r="L213" s="51"/>
      <c r="M213" s="51"/>
      <c r="N213" s="51"/>
      <c r="O213" s="51"/>
      <c r="P213" s="51"/>
      <c r="Q213" s="101"/>
      <c r="R213" s="41"/>
      <c r="S213" s="41"/>
    </row>
    <row r="214" spans="1:19">
      <c r="A214" s="63">
        <f>IF(F214&lt;&gt;"",1+MAX($A$2:A213),"")</f>
        <v>157</v>
      </c>
      <c r="B214" s="80"/>
      <c r="C214" s="81"/>
      <c r="D214" s="82" t="s">
        <v>236</v>
      </c>
      <c r="E214" s="47">
        <f>9335*0.5/27</f>
        <v>172.87037037037038</v>
      </c>
      <c r="F214" s="46">
        <v>0.1</v>
      </c>
      <c r="G214" s="47">
        <f t="shared" ref="G214" si="302">(F214*E214)+E214</f>
        <v>190.15740740740742</v>
      </c>
      <c r="H214" s="60" t="s">
        <v>46</v>
      </c>
      <c r="I214" s="48">
        <v>3</v>
      </c>
      <c r="J214" s="49">
        <f t="shared" ref="J214" si="303">+I214*G214</f>
        <v>570.47222222222229</v>
      </c>
      <c r="K214" s="50">
        <v>50</v>
      </c>
      <c r="L214" s="51">
        <f t="shared" ref="L214" si="304">I214*K214</f>
        <v>150</v>
      </c>
      <c r="M214" s="51">
        <f t="shared" ref="M214" si="305">K214*J214</f>
        <v>28523.611111111113</v>
      </c>
      <c r="N214" s="51">
        <v>230</v>
      </c>
      <c r="O214" s="51">
        <f t="shared" ref="O214" si="306">N214*G214</f>
        <v>43736.203703703708</v>
      </c>
      <c r="P214" s="51">
        <f t="shared" ref="P214" si="307">(I214*K214)+N214</f>
        <v>380</v>
      </c>
      <c r="Q214" s="101">
        <f t="shared" ref="Q214" si="308">P214*G214</f>
        <v>72259.814814814818</v>
      </c>
      <c r="R214" s="41"/>
      <c r="S214" s="41"/>
    </row>
    <row r="215" spans="1:19" ht="16.2" thickBot="1">
      <c r="A215" s="63" t="str">
        <f>IF(F215&lt;&gt;"",1+MAX($A$2:A199),"")</f>
        <v/>
      </c>
      <c r="B215" s="80"/>
      <c r="C215" s="81"/>
      <c r="D215" s="83"/>
      <c r="E215" s="84"/>
      <c r="F215" s="85"/>
      <c r="G215" s="84"/>
      <c r="H215" s="62"/>
      <c r="I215" s="64"/>
      <c r="J215" s="86"/>
      <c r="K215" s="86"/>
      <c r="L215" s="65"/>
      <c r="M215" s="65"/>
      <c r="N215" s="65"/>
      <c r="O215" s="65"/>
      <c r="P215" s="65"/>
      <c r="Q215" s="202"/>
      <c r="R215" s="41"/>
      <c r="S215" s="41"/>
    </row>
    <row r="216" spans="1:19" s="11" customFormat="1">
      <c r="A216" s="53" t="str">
        <f>IF(F216&lt;&gt;"",1+MAX($A$2:A215),"")</f>
        <v/>
      </c>
      <c r="B216" s="55"/>
      <c r="C216" s="67"/>
      <c r="D216" s="68" t="s">
        <v>44</v>
      </c>
      <c r="E216" s="69"/>
      <c r="F216" s="69"/>
      <c r="G216" s="69"/>
      <c r="H216" s="69"/>
      <c r="I216" s="69"/>
      <c r="J216" s="87"/>
      <c r="K216" s="87"/>
      <c r="L216" s="88"/>
      <c r="M216" s="89"/>
      <c r="N216" s="88"/>
      <c r="O216" s="70"/>
      <c r="P216" s="70"/>
      <c r="Q216" s="71">
        <f>SUM(Q18:Q215)</f>
        <v>6562013.9133318784</v>
      </c>
      <c r="R216" s="56"/>
    </row>
    <row r="217" spans="1:19">
      <c r="A217" s="90" t="str">
        <f>IF(F217&lt;&gt;"",1+MAX($A$2:A216),"")</f>
        <v/>
      </c>
      <c r="B217" s="91"/>
      <c r="C217" s="91"/>
      <c r="D217" s="91"/>
      <c r="E217" s="92"/>
      <c r="F217" s="93"/>
      <c r="G217" s="92"/>
      <c r="H217" s="94"/>
      <c r="I217" s="95"/>
      <c r="J217" s="92"/>
      <c r="K217" s="96"/>
      <c r="L217" s="96"/>
      <c r="M217" s="96"/>
      <c r="N217" s="96"/>
      <c r="O217" s="96"/>
      <c r="P217" s="96"/>
      <c r="Q217" s="97"/>
      <c r="R217" s="41"/>
      <c r="S217" s="41"/>
    </row>
    <row r="218" spans="1:19" s="58" customFormat="1">
      <c r="A218" s="29" t="str">
        <f>IF(F218&lt;&gt;"",1+MAX($A$2:A217),"")</f>
        <v/>
      </c>
      <c r="B218" s="30"/>
      <c r="C218" s="30">
        <v>4</v>
      </c>
      <c r="D218" s="57" t="s">
        <v>52</v>
      </c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204"/>
      <c r="S218" s="59"/>
    </row>
    <row r="219" spans="1:19" ht="18" customHeight="1">
      <c r="A219" s="107" t="str">
        <f>IF(F219&lt;&gt;"",1+MAX($A$2:A218),"")</f>
        <v/>
      </c>
      <c r="B219" s="55"/>
      <c r="C219" s="67"/>
      <c r="D219" s="111" t="s">
        <v>207</v>
      </c>
      <c r="E219" s="76"/>
      <c r="F219" s="77"/>
      <c r="G219" s="47"/>
      <c r="H219" s="47"/>
      <c r="I219" s="78"/>
      <c r="J219" s="47"/>
      <c r="K219" s="61"/>
      <c r="L219" s="61"/>
      <c r="M219" s="61"/>
      <c r="N219" s="61"/>
      <c r="O219" s="61"/>
      <c r="P219" s="61"/>
      <c r="Q219" s="79"/>
      <c r="R219" s="41"/>
      <c r="S219" s="41"/>
    </row>
    <row r="220" spans="1:19">
      <c r="A220" s="63" t="str">
        <f>IF(F220&lt;&gt;"",1+MAX($A$2:A219),"")</f>
        <v/>
      </c>
      <c r="B220" s="80"/>
      <c r="C220" s="81"/>
      <c r="D220" s="209" t="s">
        <v>208</v>
      </c>
      <c r="E220" s="76"/>
      <c r="F220" s="77"/>
      <c r="G220" s="47"/>
      <c r="H220" s="47"/>
      <c r="I220" s="78"/>
      <c r="J220" s="47"/>
      <c r="K220" s="61"/>
      <c r="L220" s="61"/>
      <c r="M220" s="61"/>
      <c r="N220" s="61"/>
      <c r="O220" s="61"/>
      <c r="P220" s="61"/>
      <c r="Q220" s="79"/>
      <c r="R220" s="41"/>
      <c r="S220" s="41"/>
    </row>
    <row r="221" spans="1:19">
      <c r="A221" s="63">
        <f>IF(F221&lt;&gt;"",1+MAX($A$2:A220),"")</f>
        <v>158</v>
      </c>
      <c r="B221" s="80"/>
      <c r="C221" s="81"/>
      <c r="D221" s="82" t="s">
        <v>209</v>
      </c>
      <c r="E221" s="47">
        <f>11.33*113</f>
        <v>1280.29</v>
      </c>
      <c r="F221" s="46">
        <v>0.1</v>
      </c>
      <c r="G221" s="47">
        <f t="shared" ref="G221:G222" si="309">E221*(1+F221)</f>
        <v>1408.319</v>
      </c>
      <c r="H221" s="60" t="s">
        <v>49</v>
      </c>
      <c r="I221" s="48">
        <v>0.45</v>
      </c>
      <c r="J221" s="49">
        <f t="shared" ref="J221:J222" si="310">+I221*G221</f>
        <v>633.74355000000003</v>
      </c>
      <c r="K221" s="50">
        <v>50</v>
      </c>
      <c r="L221" s="51">
        <f t="shared" ref="L221:L222" si="311">I221*K221</f>
        <v>22.5</v>
      </c>
      <c r="M221" s="51">
        <f t="shared" ref="M221:M222" si="312">K221*J221</f>
        <v>31687.177500000002</v>
      </c>
      <c r="N221" s="51">
        <v>12.8</v>
      </c>
      <c r="O221" s="51">
        <f t="shared" ref="O221:O222" si="313">N221*G221</f>
        <v>18026.483199999999</v>
      </c>
      <c r="P221" s="51">
        <f t="shared" ref="P221:P222" si="314">(I221*K221)+N221</f>
        <v>35.299999999999997</v>
      </c>
      <c r="Q221" s="101">
        <f t="shared" ref="Q221:Q222" si="315">P221*G221</f>
        <v>49713.660699999993</v>
      </c>
      <c r="R221" s="41"/>
      <c r="S221" s="41"/>
    </row>
    <row r="222" spans="1:19">
      <c r="A222" s="63">
        <f>IF(F222&lt;&gt;"",1+MAX($A$2:A221),"")</f>
        <v>159</v>
      </c>
      <c r="B222" s="80"/>
      <c r="C222" s="81"/>
      <c r="D222" s="82" t="s">
        <v>210</v>
      </c>
      <c r="E222" s="47">
        <f>113/0.83*1.043</f>
        <v>141.99879518072288</v>
      </c>
      <c r="F222" s="46">
        <v>0.1</v>
      </c>
      <c r="G222" s="47">
        <f t="shared" si="309"/>
        <v>156.19867469879517</v>
      </c>
      <c r="H222" s="60" t="s">
        <v>47</v>
      </c>
      <c r="I222" s="48">
        <v>1.4999999999999999E-2</v>
      </c>
      <c r="J222" s="49">
        <f t="shared" si="310"/>
        <v>2.3429801204819274</v>
      </c>
      <c r="K222" s="50">
        <v>50</v>
      </c>
      <c r="L222" s="51">
        <f t="shared" si="311"/>
        <v>0.75</v>
      </c>
      <c r="M222" s="51">
        <f t="shared" si="312"/>
        <v>117.14900602409637</v>
      </c>
      <c r="N222" s="51">
        <v>1.1000000000000001</v>
      </c>
      <c r="O222" s="51">
        <f t="shared" si="313"/>
        <v>171.8185421686747</v>
      </c>
      <c r="P222" s="51">
        <f t="shared" si="314"/>
        <v>1.85</v>
      </c>
      <c r="Q222" s="101">
        <f t="shared" si="315"/>
        <v>288.96754819277106</v>
      </c>
      <c r="R222" s="41"/>
      <c r="S222" s="41"/>
    </row>
    <row r="223" spans="1:19">
      <c r="A223" s="63" t="str">
        <f>IF(F223&lt;&gt;"",1+MAX($A$2:A222),"")</f>
        <v/>
      </c>
      <c r="B223" s="80"/>
      <c r="C223" s="81"/>
      <c r="D223" s="82"/>
      <c r="E223" s="47"/>
      <c r="F223" s="46"/>
      <c r="G223" s="47"/>
      <c r="H223" s="60"/>
      <c r="I223" s="48"/>
      <c r="J223" s="49"/>
      <c r="K223" s="50"/>
      <c r="L223" s="51"/>
      <c r="M223" s="51"/>
      <c r="N223" s="51"/>
      <c r="O223" s="51"/>
      <c r="P223" s="51"/>
      <c r="Q223" s="101"/>
      <c r="R223" s="41"/>
      <c r="S223" s="41"/>
    </row>
    <row r="224" spans="1:19" ht="18" customHeight="1">
      <c r="A224" s="63" t="str">
        <f>IF(F224&lt;&gt;"",1+MAX($A$2:A223),"")</f>
        <v/>
      </c>
      <c r="B224" s="55"/>
      <c r="C224" s="67"/>
      <c r="D224" s="111" t="s">
        <v>211</v>
      </c>
      <c r="E224" s="76"/>
      <c r="F224" s="77"/>
      <c r="G224" s="47"/>
      <c r="H224" s="47"/>
      <c r="I224" s="78"/>
      <c r="J224" s="47"/>
      <c r="K224" s="61"/>
      <c r="L224" s="61"/>
      <c r="M224" s="61"/>
      <c r="N224" s="61"/>
      <c r="O224" s="61"/>
      <c r="P224" s="61"/>
      <c r="Q224" s="79"/>
      <c r="R224" s="41"/>
      <c r="S224" s="41"/>
    </row>
    <row r="225" spans="1:19">
      <c r="A225" s="63">
        <f>IF(F225&lt;&gt;"",1+MAX($A$2:A224),"")</f>
        <v>160</v>
      </c>
      <c r="B225" s="80"/>
      <c r="C225" s="81"/>
      <c r="D225" s="82" t="s">
        <v>212</v>
      </c>
      <c r="E225" s="47">
        <v>191</v>
      </c>
      <c r="F225" s="46">
        <v>0.1</v>
      </c>
      <c r="G225" s="47">
        <f t="shared" ref="G225:G226" si="316">E225*(1+F225)</f>
        <v>210.10000000000002</v>
      </c>
      <c r="H225" s="60" t="s">
        <v>53</v>
      </c>
      <c r="I225" s="48">
        <v>0.35</v>
      </c>
      <c r="J225" s="49">
        <f t="shared" ref="J225:J226" si="317">+I225*G225</f>
        <v>73.534999999999997</v>
      </c>
      <c r="K225" s="50">
        <v>50</v>
      </c>
      <c r="L225" s="51">
        <f t="shared" ref="L225:L226" si="318">I225*K225</f>
        <v>17.5</v>
      </c>
      <c r="M225" s="51">
        <f t="shared" ref="M225:M226" si="319">K225*J225</f>
        <v>3676.75</v>
      </c>
      <c r="N225" s="51">
        <v>22</v>
      </c>
      <c r="O225" s="51">
        <f t="shared" ref="O225:O226" si="320">N225*G225</f>
        <v>4622.2000000000007</v>
      </c>
      <c r="P225" s="51">
        <f t="shared" ref="P225:P226" si="321">(I225*K225)+N225</f>
        <v>39.5</v>
      </c>
      <c r="Q225" s="101">
        <f t="shared" ref="Q225:Q226" si="322">P225*G225</f>
        <v>8298.9500000000007</v>
      </c>
      <c r="R225" s="41"/>
      <c r="S225" s="41"/>
    </row>
    <row r="226" spans="1:19">
      <c r="A226" s="63">
        <f>IF(F226&lt;&gt;"",1+MAX($A$2:A225),"")</f>
        <v>161</v>
      </c>
      <c r="B226" s="80"/>
      <c r="C226" s="81"/>
      <c r="D226" s="82" t="s">
        <v>196</v>
      </c>
      <c r="E226" s="47">
        <f>2*1.043*191</f>
        <v>398.42599999999999</v>
      </c>
      <c r="F226" s="46">
        <v>0.1</v>
      </c>
      <c r="G226" s="47">
        <f t="shared" si="316"/>
        <v>438.26860000000005</v>
      </c>
      <c r="H226" s="60" t="s">
        <v>47</v>
      </c>
      <c r="I226" s="48">
        <v>1.4999999999999999E-2</v>
      </c>
      <c r="J226" s="49">
        <f t="shared" si="317"/>
        <v>6.5740290000000003</v>
      </c>
      <c r="K226" s="50">
        <v>50</v>
      </c>
      <c r="L226" s="51">
        <f t="shared" si="318"/>
        <v>0.75</v>
      </c>
      <c r="M226" s="51">
        <f t="shared" si="319"/>
        <v>328.70145000000002</v>
      </c>
      <c r="N226" s="51">
        <v>1.1000000000000001</v>
      </c>
      <c r="O226" s="51">
        <f t="shared" si="320"/>
        <v>482.09546000000012</v>
      </c>
      <c r="P226" s="51">
        <f t="shared" si="321"/>
        <v>1.85</v>
      </c>
      <c r="Q226" s="101">
        <f t="shared" si="322"/>
        <v>810.79691000000014</v>
      </c>
      <c r="R226" s="41"/>
      <c r="S226" s="41"/>
    </row>
    <row r="227" spans="1:19">
      <c r="A227" s="63" t="str">
        <f>IF(F227&lt;&gt;"",1+MAX($A$2:A226),"")</f>
        <v/>
      </c>
      <c r="B227" s="80"/>
      <c r="C227" s="81"/>
      <c r="D227" s="82"/>
      <c r="E227" s="47"/>
      <c r="F227" s="46"/>
      <c r="G227" s="47"/>
      <c r="H227" s="60"/>
      <c r="I227" s="48"/>
      <c r="J227" s="49"/>
      <c r="K227" s="50"/>
      <c r="L227" s="51"/>
      <c r="M227" s="51"/>
      <c r="N227" s="51"/>
      <c r="O227" s="51"/>
      <c r="P227" s="51"/>
      <c r="Q227" s="101"/>
      <c r="R227" s="41"/>
      <c r="S227" s="41"/>
    </row>
    <row r="228" spans="1:19" ht="18" customHeight="1">
      <c r="A228" s="63" t="str">
        <f>IF(F228&lt;&gt;"",1+MAX($A$2:A227),"")</f>
        <v/>
      </c>
      <c r="B228" s="55"/>
      <c r="C228" s="67"/>
      <c r="D228" s="111" t="s">
        <v>213</v>
      </c>
      <c r="E228" s="76"/>
      <c r="F228" s="77"/>
      <c r="G228" s="47"/>
      <c r="H228" s="47"/>
      <c r="I228" s="78"/>
      <c r="J228" s="47"/>
      <c r="K228" s="61"/>
      <c r="L228" s="61"/>
      <c r="M228" s="61"/>
      <c r="N228" s="61"/>
      <c r="O228" s="61"/>
      <c r="P228" s="61"/>
      <c r="Q228" s="79"/>
      <c r="R228" s="41"/>
      <c r="S228" s="41"/>
    </row>
    <row r="229" spans="1:19">
      <c r="A229" s="63">
        <f>IF(F229&lt;&gt;"",1+MAX($A$2:A228),"")</f>
        <v>162</v>
      </c>
      <c r="B229" s="80"/>
      <c r="C229" s="81"/>
      <c r="D229" s="82" t="s">
        <v>214</v>
      </c>
      <c r="E229" s="47">
        <v>20688.259999999998</v>
      </c>
      <c r="F229" s="46">
        <v>0.1</v>
      </c>
      <c r="G229" s="47">
        <f t="shared" ref="G229" si="323">E229*(1+F229)</f>
        <v>22757.085999999999</v>
      </c>
      <c r="H229" s="60" t="s">
        <v>49</v>
      </c>
      <c r="I229" s="48">
        <v>0.65</v>
      </c>
      <c r="J229" s="49">
        <f t="shared" ref="J229" si="324">+I229*G229</f>
        <v>14792.1059</v>
      </c>
      <c r="K229" s="50">
        <v>50</v>
      </c>
      <c r="L229" s="51">
        <f t="shared" ref="L229" si="325">I229*K229</f>
        <v>32.5</v>
      </c>
      <c r="M229" s="51">
        <f t="shared" ref="M229" si="326">K229*J229</f>
        <v>739605.29500000004</v>
      </c>
      <c r="N229" s="51">
        <v>14.5</v>
      </c>
      <c r="O229" s="51">
        <f t="shared" ref="O229" si="327">N229*G229</f>
        <v>329977.74699999997</v>
      </c>
      <c r="P229" s="51">
        <f t="shared" ref="P229" si="328">(I229*K229)+N229</f>
        <v>47</v>
      </c>
      <c r="Q229" s="101">
        <f t="shared" ref="Q229" si="329">P229*G229</f>
        <v>1069583.0419999999</v>
      </c>
      <c r="R229" s="41"/>
      <c r="S229" s="41"/>
    </row>
    <row r="230" spans="1:19" ht="18" customHeight="1" thickBot="1">
      <c r="A230" s="63" t="str">
        <f>IF(F230&lt;&gt;"",1+MAX($A$2:A229),"")</f>
        <v/>
      </c>
      <c r="B230" s="80"/>
      <c r="C230" s="105"/>
      <c r="D230" s="106"/>
      <c r="E230" s="47"/>
      <c r="F230" s="46"/>
      <c r="G230" s="47"/>
      <c r="H230" s="45"/>
      <c r="I230" s="48"/>
      <c r="J230" s="49"/>
      <c r="K230" s="50"/>
      <c r="L230" s="51"/>
      <c r="M230" s="51"/>
      <c r="N230" s="51"/>
      <c r="O230" s="51"/>
      <c r="P230" s="51"/>
      <c r="Q230" s="79"/>
      <c r="R230" s="41"/>
      <c r="S230" s="41"/>
    </row>
    <row r="231" spans="1:19" s="11" customFormat="1">
      <c r="A231" s="107" t="str">
        <f>IF(F231&lt;&gt;"",1+MAX($A$2:A230),"")</f>
        <v/>
      </c>
      <c r="B231" s="55"/>
      <c r="C231" s="67"/>
      <c r="D231" s="68" t="s">
        <v>44</v>
      </c>
      <c r="E231" s="69"/>
      <c r="F231" s="69"/>
      <c r="G231" s="69"/>
      <c r="H231" s="69"/>
      <c r="I231" s="69"/>
      <c r="J231" s="87"/>
      <c r="K231" s="87"/>
      <c r="L231" s="88"/>
      <c r="M231" s="89"/>
      <c r="N231" s="88"/>
      <c r="O231" s="70"/>
      <c r="P231" s="70"/>
      <c r="Q231" s="71">
        <f>SUM(Q220:Q230)</f>
        <v>1128695.4171581927</v>
      </c>
      <c r="R231" s="56"/>
    </row>
    <row r="232" spans="1:19" s="11" customFormat="1">
      <c r="A232" s="72" t="str">
        <f>IF(F232&lt;&gt;"",1+MAX($A$2:A231),"")</f>
        <v/>
      </c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203"/>
      <c r="R232" s="56"/>
    </row>
    <row r="233" spans="1:19" s="58" customFormat="1">
      <c r="A233" s="29" t="str">
        <f>IF(F233&lt;&gt;"",1+MAX($A$2:A232),"")</f>
        <v/>
      </c>
      <c r="B233" s="30"/>
      <c r="C233" s="31">
        <v>6</v>
      </c>
      <c r="D233" s="27" t="s">
        <v>54</v>
      </c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205"/>
      <c r="S233" s="59"/>
    </row>
    <row r="234" spans="1:19" ht="18" customHeight="1">
      <c r="A234" s="107" t="str">
        <f>IF(F234&lt;&gt;"",1+MAX($A$2:A233),"")</f>
        <v/>
      </c>
      <c r="B234" s="55"/>
      <c r="C234" s="67"/>
      <c r="D234" s="111" t="s">
        <v>215</v>
      </c>
      <c r="E234" s="76"/>
      <c r="F234" s="77"/>
      <c r="G234" s="47"/>
      <c r="H234" s="47"/>
      <c r="I234" s="78"/>
      <c r="J234" s="47"/>
      <c r="K234" s="61"/>
      <c r="L234" s="61"/>
      <c r="M234" s="61"/>
      <c r="N234" s="61"/>
      <c r="O234" s="61"/>
      <c r="P234" s="61"/>
      <c r="Q234" s="79"/>
      <c r="R234" s="41"/>
      <c r="S234" s="41"/>
    </row>
    <row r="235" spans="1:19" ht="18" customHeight="1">
      <c r="A235" s="63">
        <f>IF(F235&lt;&gt;"",1+MAX($A$2:A234),"")</f>
        <v>163</v>
      </c>
      <c r="B235" s="80"/>
      <c r="C235" s="43"/>
      <c r="D235" s="112" t="s">
        <v>216</v>
      </c>
      <c r="E235" s="47">
        <v>952.21</v>
      </c>
      <c r="F235" s="46">
        <v>0.1</v>
      </c>
      <c r="G235" s="47">
        <f t="shared" ref="G235:G236" si="330">E235*(1+F235)</f>
        <v>1047.431</v>
      </c>
      <c r="H235" s="60" t="s">
        <v>53</v>
      </c>
      <c r="I235" s="48">
        <v>0.08</v>
      </c>
      <c r="J235" s="49">
        <f t="shared" ref="J235:J236" si="331">+I235*G235</f>
        <v>83.794480000000007</v>
      </c>
      <c r="K235" s="50">
        <v>52</v>
      </c>
      <c r="L235" s="51">
        <f t="shared" ref="L235:L236" si="332">I235*K235</f>
        <v>4.16</v>
      </c>
      <c r="M235" s="51">
        <f t="shared" ref="M235:M236" si="333">K235*J235</f>
        <v>4357.3129600000002</v>
      </c>
      <c r="N235" s="51">
        <v>3.4</v>
      </c>
      <c r="O235" s="51">
        <f t="shared" ref="O235:O236" si="334">N235*G235</f>
        <v>3561.2654000000002</v>
      </c>
      <c r="P235" s="51">
        <f t="shared" ref="P235:P236" si="335">(I235*K235)+N235</f>
        <v>7.5600000000000005</v>
      </c>
      <c r="Q235" s="101">
        <f t="shared" ref="Q235:Q236" si="336">P235*G235</f>
        <v>7918.5783600000004</v>
      </c>
      <c r="R235" s="41"/>
      <c r="S235" s="41"/>
    </row>
    <row r="236" spans="1:19">
      <c r="A236" s="63">
        <f>IF(F236&lt;&gt;"",1+MAX($A$2:A235),"")</f>
        <v>164</v>
      </c>
      <c r="B236" s="80"/>
      <c r="C236" s="81"/>
      <c r="D236" s="112" t="s">
        <v>217</v>
      </c>
      <c r="E236" s="47">
        <v>361.89</v>
      </c>
      <c r="F236" s="46">
        <v>0.1</v>
      </c>
      <c r="G236" s="47">
        <f t="shared" si="330"/>
        <v>398.07900000000001</v>
      </c>
      <c r="H236" s="60" t="s">
        <v>53</v>
      </c>
      <c r="I236" s="48">
        <v>0.12</v>
      </c>
      <c r="J236" s="49">
        <f t="shared" si="331"/>
        <v>47.769480000000001</v>
      </c>
      <c r="K236" s="50">
        <v>52</v>
      </c>
      <c r="L236" s="51">
        <f t="shared" si="332"/>
        <v>6.24</v>
      </c>
      <c r="M236" s="51">
        <f t="shared" si="333"/>
        <v>2484.01296</v>
      </c>
      <c r="N236" s="51">
        <v>9.5</v>
      </c>
      <c r="O236" s="51">
        <f t="shared" si="334"/>
        <v>3781.7505000000001</v>
      </c>
      <c r="P236" s="51">
        <f t="shared" si="335"/>
        <v>15.74</v>
      </c>
      <c r="Q236" s="101">
        <f t="shared" si="336"/>
        <v>6265.7634600000001</v>
      </c>
      <c r="R236" s="41"/>
      <c r="S236" s="41"/>
    </row>
    <row r="237" spans="1:19">
      <c r="A237" s="63" t="str">
        <f>IF(F237&lt;&gt;"",1+MAX($A$2:A236),"")</f>
        <v/>
      </c>
      <c r="B237" s="80"/>
      <c r="C237" s="81"/>
      <c r="D237" s="112"/>
      <c r="E237" s="47"/>
      <c r="F237" s="102"/>
      <c r="G237" s="103"/>
      <c r="H237" s="104"/>
      <c r="I237" s="48"/>
      <c r="J237" s="49"/>
      <c r="K237" s="50"/>
      <c r="L237" s="51"/>
      <c r="M237" s="51"/>
      <c r="N237" s="51"/>
      <c r="O237" s="51"/>
      <c r="P237" s="51"/>
      <c r="Q237" s="101"/>
      <c r="R237" s="41"/>
      <c r="S237" s="41"/>
    </row>
    <row r="238" spans="1:19" ht="18" customHeight="1">
      <c r="A238" s="63" t="str">
        <f>IF(F238&lt;&gt;"",1+MAX($A$2:A237),"")</f>
        <v/>
      </c>
      <c r="B238" s="55"/>
      <c r="C238" s="67"/>
      <c r="D238" s="111" t="s">
        <v>218</v>
      </c>
      <c r="E238" s="76"/>
      <c r="F238" s="77"/>
      <c r="G238" s="47"/>
      <c r="H238" s="47"/>
      <c r="I238" s="78"/>
      <c r="J238" s="47"/>
      <c r="K238" s="61"/>
      <c r="L238" s="61"/>
      <c r="M238" s="61"/>
      <c r="N238" s="61"/>
      <c r="O238" s="61"/>
      <c r="P238" s="61"/>
      <c r="Q238" s="79"/>
      <c r="R238" s="41"/>
      <c r="S238" s="41"/>
    </row>
    <row r="239" spans="1:19">
      <c r="A239" s="63">
        <f>IF(F239&lt;&gt;"",1+MAX($A$2:A238),"")</f>
        <v>165</v>
      </c>
      <c r="B239" s="80"/>
      <c r="C239" s="81"/>
      <c r="D239" s="112" t="s">
        <v>219</v>
      </c>
      <c r="E239" s="47">
        <v>470.56</v>
      </c>
      <c r="F239" s="46">
        <v>0.1</v>
      </c>
      <c r="G239" s="47">
        <f t="shared" ref="G239:G243" si="337">E239*(1+F239)</f>
        <v>517.6160000000001</v>
      </c>
      <c r="H239" s="60" t="s">
        <v>53</v>
      </c>
      <c r="I239" s="48">
        <v>0.05</v>
      </c>
      <c r="J239" s="49">
        <f t="shared" ref="J239:J243" si="338">+I239*G239</f>
        <v>25.880800000000008</v>
      </c>
      <c r="K239" s="50">
        <v>52</v>
      </c>
      <c r="L239" s="51">
        <f t="shared" ref="L239:L243" si="339">I239*K239</f>
        <v>2.6</v>
      </c>
      <c r="M239" s="51">
        <f t="shared" ref="M239:M243" si="340">K239*J239</f>
        <v>1345.8016000000005</v>
      </c>
      <c r="N239" s="51">
        <v>2.2000000000000002</v>
      </c>
      <c r="O239" s="51">
        <f t="shared" ref="O239:O243" si="341">N239*G239</f>
        <v>1138.7552000000003</v>
      </c>
      <c r="P239" s="51">
        <f t="shared" ref="P239:P243" si="342">(I239*K239)+N239</f>
        <v>4.8000000000000007</v>
      </c>
      <c r="Q239" s="101">
        <f t="shared" ref="Q239:Q243" si="343">P239*G239</f>
        <v>2484.5568000000007</v>
      </c>
      <c r="R239" s="41"/>
      <c r="S239" s="41"/>
    </row>
    <row r="240" spans="1:19">
      <c r="A240" s="63">
        <f>IF(F240&lt;&gt;"",1+MAX($A$2:A239),"")</f>
        <v>166</v>
      </c>
      <c r="B240" s="80"/>
      <c r="C240" s="81"/>
      <c r="D240" s="112" t="s">
        <v>220</v>
      </c>
      <c r="E240" s="47">
        <v>297.89999999999998</v>
      </c>
      <c r="F240" s="46">
        <v>0.1</v>
      </c>
      <c r="G240" s="47">
        <f t="shared" si="337"/>
        <v>327.69</v>
      </c>
      <c r="H240" s="60" t="s">
        <v>53</v>
      </c>
      <c r="I240" s="48">
        <v>0.05</v>
      </c>
      <c r="J240" s="49">
        <f t="shared" si="338"/>
        <v>16.384499999999999</v>
      </c>
      <c r="K240" s="50">
        <v>52</v>
      </c>
      <c r="L240" s="51">
        <f t="shared" si="339"/>
        <v>2.6</v>
      </c>
      <c r="M240" s="51">
        <f t="shared" si="340"/>
        <v>851.99399999999991</v>
      </c>
      <c r="N240" s="51">
        <v>2.2000000000000002</v>
      </c>
      <c r="O240" s="51">
        <f t="shared" si="341"/>
        <v>720.91800000000001</v>
      </c>
      <c r="P240" s="51">
        <f t="shared" si="342"/>
        <v>4.8000000000000007</v>
      </c>
      <c r="Q240" s="101">
        <f t="shared" si="343"/>
        <v>1572.9120000000003</v>
      </c>
      <c r="R240" s="41"/>
      <c r="S240" s="41"/>
    </row>
    <row r="241" spans="1:36">
      <c r="A241" s="63">
        <f>IF(F241&lt;&gt;"",1+MAX($A$2:A240),"")</f>
        <v>167</v>
      </c>
      <c r="B241" s="80"/>
      <c r="C241" s="81"/>
      <c r="D241" s="112" t="s">
        <v>221</v>
      </c>
      <c r="E241" s="47">
        <v>1467.21</v>
      </c>
      <c r="F241" s="46">
        <v>0.1</v>
      </c>
      <c r="G241" s="47">
        <f t="shared" si="337"/>
        <v>1613.9310000000003</v>
      </c>
      <c r="H241" s="60" t="s">
        <v>53</v>
      </c>
      <c r="I241" s="48">
        <v>0.05</v>
      </c>
      <c r="J241" s="49">
        <f t="shared" si="338"/>
        <v>80.696550000000016</v>
      </c>
      <c r="K241" s="50">
        <v>52</v>
      </c>
      <c r="L241" s="51">
        <f t="shared" si="339"/>
        <v>2.6</v>
      </c>
      <c r="M241" s="51">
        <f t="shared" si="340"/>
        <v>4196.2206000000006</v>
      </c>
      <c r="N241" s="51">
        <v>2.2000000000000002</v>
      </c>
      <c r="O241" s="51">
        <f t="shared" si="341"/>
        <v>3550.648200000001</v>
      </c>
      <c r="P241" s="51">
        <f t="shared" si="342"/>
        <v>4.8000000000000007</v>
      </c>
      <c r="Q241" s="101">
        <f t="shared" si="343"/>
        <v>7746.868800000002</v>
      </c>
      <c r="R241" s="41"/>
      <c r="S241" s="41"/>
    </row>
    <row r="242" spans="1:36">
      <c r="A242" s="63">
        <f>IF(F242&lt;&gt;"",1+MAX($A$2:A241),"")</f>
        <v>168</v>
      </c>
      <c r="B242" s="80"/>
      <c r="C242" s="81"/>
      <c r="D242" s="112" t="s">
        <v>222</v>
      </c>
      <c r="E242" s="47">
        <v>361.89</v>
      </c>
      <c r="F242" s="46">
        <v>0.1</v>
      </c>
      <c r="G242" s="47">
        <f t="shared" si="337"/>
        <v>398.07900000000001</v>
      </c>
      <c r="H242" s="60" t="s">
        <v>53</v>
      </c>
      <c r="I242" s="48">
        <v>0.06</v>
      </c>
      <c r="J242" s="49">
        <f t="shared" si="338"/>
        <v>23.884740000000001</v>
      </c>
      <c r="K242" s="50">
        <v>52</v>
      </c>
      <c r="L242" s="51">
        <f t="shared" si="339"/>
        <v>3.12</v>
      </c>
      <c r="M242" s="51">
        <f t="shared" si="340"/>
        <v>1242.00648</v>
      </c>
      <c r="N242" s="51">
        <v>3.4</v>
      </c>
      <c r="O242" s="51">
        <f t="shared" si="341"/>
        <v>1353.4685999999999</v>
      </c>
      <c r="P242" s="51">
        <f t="shared" si="342"/>
        <v>6.52</v>
      </c>
      <c r="Q242" s="101">
        <f t="shared" si="343"/>
        <v>2595.4750799999997</v>
      </c>
      <c r="R242" s="41"/>
      <c r="S242" s="41"/>
    </row>
    <row r="243" spans="1:36">
      <c r="A243" s="63">
        <f>IF(F243&lt;&gt;"",1+MAX($A$2:A242),"")</f>
        <v>169</v>
      </c>
      <c r="B243" s="80"/>
      <c r="C243" s="81"/>
      <c r="D243" s="112" t="s">
        <v>223</v>
      </c>
      <c r="E243" s="47">
        <v>259</v>
      </c>
      <c r="F243" s="46">
        <v>0</v>
      </c>
      <c r="G243" s="47">
        <f t="shared" si="337"/>
        <v>259</v>
      </c>
      <c r="H243" s="60" t="s">
        <v>51</v>
      </c>
      <c r="I243" s="48">
        <v>0.03</v>
      </c>
      <c r="J243" s="49">
        <f t="shared" si="338"/>
        <v>7.77</v>
      </c>
      <c r="K243" s="50">
        <v>52</v>
      </c>
      <c r="L243" s="51">
        <f t="shared" si="339"/>
        <v>1.56</v>
      </c>
      <c r="M243" s="51">
        <f t="shared" si="340"/>
        <v>404.03999999999996</v>
      </c>
      <c r="N243" s="51">
        <v>2.4</v>
      </c>
      <c r="O243" s="51">
        <f t="shared" si="341"/>
        <v>621.6</v>
      </c>
      <c r="P243" s="51">
        <f t="shared" si="342"/>
        <v>3.96</v>
      </c>
      <c r="Q243" s="101">
        <f t="shared" si="343"/>
        <v>1025.6400000000001</v>
      </c>
      <c r="R243" s="41"/>
      <c r="S243" s="41"/>
    </row>
    <row r="244" spans="1:36">
      <c r="A244" s="63" t="str">
        <f>IF(F244&lt;&gt;"",1+MAX($A$2:A243),"")</f>
        <v/>
      </c>
      <c r="B244" s="80"/>
      <c r="C244" s="81"/>
      <c r="D244" s="112"/>
      <c r="E244" s="47"/>
      <c r="F244" s="102"/>
      <c r="G244" s="103"/>
      <c r="H244" s="104"/>
      <c r="I244" s="48"/>
      <c r="J244" s="49"/>
      <c r="K244" s="50"/>
      <c r="L244" s="51"/>
      <c r="M244" s="51"/>
      <c r="N244" s="51"/>
      <c r="O244" s="51"/>
      <c r="P244" s="51"/>
      <c r="Q244" s="101"/>
      <c r="R244" s="41"/>
      <c r="S244" s="41"/>
    </row>
    <row r="245" spans="1:36" ht="18" customHeight="1">
      <c r="A245" s="63" t="str">
        <f>IF(F245&lt;&gt;"",1+MAX($A$2:A244),"")</f>
        <v/>
      </c>
      <c r="B245" s="55"/>
      <c r="C245" s="67"/>
      <c r="D245" s="111" t="s">
        <v>224</v>
      </c>
      <c r="E245" s="76"/>
      <c r="F245" s="77"/>
      <c r="G245" s="47"/>
      <c r="H245" s="47"/>
      <c r="I245" s="78"/>
      <c r="J245" s="47"/>
      <c r="K245" s="61"/>
      <c r="L245" s="61"/>
      <c r="M245" s="61"/>
      <c r="N245" s="61"/>
      <c r="O245" s="61"/>
      <c r="P245" s="61"/>
      <c r="Q245" s="79"/>
      <c r="R245" s="41"/>
      <c r="S245" s="41"/>
    </row>
    <row r="246" spans="1:36">
      <c r="A246" s="63">
        <f>IF(F246&lt;&gt;"",1+MAX($A$2:A245),"")</f>
        <v>170</v>
      </c>
      <c r="B246" s="80"/>
      <c r="C246" s="81"/>
      <c r="D246" s="112" t="s">
        <v>225</v>
      </c>
      <c r="E246" s="47">
        <v>3103.86</v>
      </c>
      <c r="F246" s="46">
        <v>0.1</v>
      </c>
      <c r="G246" s="47">
        <f t="shared" ref="G246:G247" si="344">E246*(1+F246)</f>
        <v>3414.2460000000005</v>
      </c>
      <c r="H246" s="60" t="s">
        <v>49</v>
      </c>
      <c r="I246" s="48">
        <v>0.04</v>
      </c>
      <c r="J246" s="49">
        <f t="shared" ref="J246:J247" si="345">+I246*G246</f>
        <v>136.56984000000003</v>
      </c>
      <c r="K246" s="50">
        <v>52</v>
      </c>
      <c r="L246" s="51">
        <f t="shared" ref="L246:L247" si="346">I246*K246</f>
        <v>2.08</v>
      </c>
      <c r="M246" s="51">
        <f t="shared" ref="M246:M247" si="347">K246*J246</f>
        <v>7101.6316800000013</v>
      </c>
      <c r="N246" s="51">
        <v>2.85</v>
      </c>
      <c r="O246" s="51">
        <f t="shared" ref="O246:O247" si="348">N246*G246</f>
        <v>9730.6011000000017</v>
      </c>
      <c r="P246" s="51">
        <f t="shared" ref="P246:P247" si="349">(I246*K246)+N246</f>
        <v>4.93</v>
      </c>
      <c r="Q246" s="101">
        <f t="shared" ref="Q246:Q247" si="350">P246*G246</f>
        <v>16832.232780000002</v>
      </c>
      <c r="R246" s="41"/>
      <c r="S246" s="41"/>
    </row>
    <row r="247" spans="1:36">
      <c r="A247" s="63">
        <f>IF(F247&lt;&gt;"",1+MAX($A$2:A246),"")</f>
        <v>171</v>
      </c>
      <c r="B247" s="80"/>
      <c r="C247" s="81"/>
      <c r="D247" s="112" t="s">
        <v>226</v>
      </c>
      <c r="E247" s="47">
        <v>90.03</v>
      </c>
      <c r="F247" s="46">
        <v>0.1</v>
      </c>
      <c r="G247" s="47">
        <f t="shared" si="344"/>
        <v>99.033000000000015</v>
      </c>
      <c r="H247" s="60" t="s">
        <v>49</v>
      </c>
      <c r="I247" s="48">
        <v>0.04</v>
      </c>
      <c r="J247" s="49">
        <f t="shared" si="345"/>
        <v>3.9613200000000006</v>
      </c>
      <c r="K247" s="50">
        <v>52</v>
      </c>
      <c r="L247" s="51">
        <f t="shared" si="346"/>
        <v>2.08</v>
      </c>
      <c r="M247" s="51">
        <f t="shared" si="347"/>
        <v>205.98864000000003</v>
      </c>
      <c r="N247" s="51">
        <v>3.05</v>
      </c>
      <c r="O247" s="51">
        <f t="shared" si="348"/>
        <v>302.05065000000002</v>
      </c>
      <c r="P247" s="51">
        <f t="shared" si="349"/>
        <v>5.13</v>
      </c>
      <c r="Q247" s="101">
        <f t="shared" si="350"/>
        <v>508.03929000000005</v>
      </c>
      <c r="R247" s="41"/>
      <c r="S247" s="41"/>
    </row>
    <row r="248" spans="1:36">
      <c r="A248" s="63" t="str">
        <f>IF(F248&lt;&gt;"",1+MAX($A$2:A247),"")</f>
        <v/>
      </c>
      <c r="B248" s="80"/>
      <c r="C248" s="81"/>
      <c r="D248" s="112"/>
      <c r="E248" s="47"/>
      <c r="F248" s="102"/>
      <c r="G248" s="103"/>
      <c r="H248" s="104"/>
      <c r="I248" s="48"/>
      <c r="J248" s="49"/>
      <c r="K248" s="50"/>
      <c r="L248" s="51"/>
      <c r="M248" s="51"/>
      <c r="N248" s="51"/>
      <c r="O248" s="51"/>
      <c r="P248" s="51"/>
      <c r="Q248" s="101"/>
      <c r="R248" s="41"/>
      <c r="S248" s="41"/>
    </row>
    <row r="249" spans="1:36" ht="18" customHeight="1">
      <c r="A249" s="63" t="str">
        <f>IF(F249&lt;&gt;"",1+MAX($A$2:A248),"")</f>
        <v/>
      </c>
      <c r="B249" s="55"/>
      <c r="C249" s="67"/>
      <c r="D249" s="111" t="s">
        <v>227</v>
      </c>
      <c r="E249" s="76"/>
      <c r="F249" s="77"/>
      <c r="G249" s="47"/>
      <c r="H249" s="47"/>
      <c r="I249" s="78"/>
      <c r="J249" s="47"/>
      <c r="K249" s="61"/>
      <c r="L249" s="61"/>
      <c r="M249" s="61"/>
      <c r="N249" s="61"/>
      <c r="O249" s="61"/>
      <c r="P249" s="61"/>
      <c r="Q249" s="79"/>
      <c r="R249" s="41"/>
      <c r="S249" s="41"/>
    </row>
    <row r="250" spans="1:36">
      <c r="A250" s="63">
        <f>IF(F250&lt;&gt;"",1+MAX($A$2:A249),"")</f>
        <v>172</v>
      </c>
      <c r="B250" s="80"/>
      <c r="C250" s="81"/>
      <c r="D250" s="112" t="s">
        <v>228</v>
      </c>
      <c r="E250" s="47">
        <v>297.89999999999998</v>
      </c>
      <c r="F250" s="46">
        <v>0.1</v>
      </c>
      <c r="G250" s="47">
        <f t="shared" ref="G250" si="351">E250*(1+F250)</f>
        <v>327.69</v>
      </c>
      <c r="H250" s="60" t="s">
        <v>53</v>
      </c>
      <c r="I250" s="48">
        <v>0.9</v>
      </c>
      <c r="J250" s="49">
        <f t="shared" ref="J250" si="352">+I250*G250</f>
        <v>294.92099999999999</v>
      </c>
      <c r="K250" s="50">
        <v>52</v>
      </c>
      <c r="L250" s="51">
        <f t="shared" ref="L250" si="353">I250*K250</f>
        <v>46.800000000000004</v>
      </c>
      <c r="M250" s="51">
        <f t="shared" ref="M250" si="354">K250*J250</f>
        <v>15335.892</v>
      </c>
      <c r="N250" s="51">
        <v>240</v>
      </c>
      <c r="O250" s="51">
        <f t="shared" ref="O250" si="355">N250*G250</f>
        <v>78645.600000000006</v>
      </c>
      <c r="P250" s="51">
        <f t="shared" ref="P250" si="356">(I250*K250)+N250</f>
        <v>286.8</v>
      </c>
      <c r="Q250" s="101">
        <f t="shared" ref="Q250" si="357">P250*G250</f>
        <v>93981.491999999998</v>
      </c>
      <c r="R250" s="41"/>
      <c r="S250" s="41"/>
    </row>
    <row r="251" spans="1:36">
      <c r="A251" s="63">
        <f>IF(F251&lt;&gt;"",1+MAX($A$2:A250),"")</f>
        <v>173</v>
      </c>
      <c r="B251" s="80"/>
      <c r="C251" s="81"/>
      <c r="D251" s="112" t="s">
        <v>229</v>
      </c>
      <c r="E251" s="47">
        <v>470.56</v>
      </c>
      <c r="F251" s="46">
        <v>0.1</v>
      </c>
      <c r="G251" s="47">
        <f t="shared" ref="G251" si="358">E251*(1+F251)</f>
        <v>517.6160000000001</v>
      </c>
      <c r="H251" s="60" t="s">
        <v>53</v>
      </c>
      <c r="I251" s="48">
        <v>0.5</v>
      </c>
      <c r="J251" s="49">
        <f t="shared" ref="J251" si="359">+I251*G251</f>
        <v>258.80800000000005</v>
      </c>
      <c r="K251" s="50">
        <v>52</v>
      </c>
      <c r="L251" s="51">
        <f t="shared" ref="L251" si="360">I251*K251</f>
        <v>26</v>
      </c>
      <c r="M251" s="51">
        <f t="shared" ref="M251" si="361">K251*J251</f>
        <v>13458.016000000003</v>
      </c>
      <c r="N251" s="51">
        <v>120</v>
      </c>
      <c r="O251" s="51">
        <f t="shared" ref="O251" si="362">N251*G251</f>
        <v>62113.920000000013</v>
      </c>
      <c r="P251" s="51">
        <f t="shared" ref="P251" si="363">(I251*K251)+N251</f>
        <v>146</v>
      </c>
      <c r="Q251" s="101">
        <f t="shared" ref="Q251" si="364">P251*G251</f>
        <v>75571.936000000016</v>
      </c>
      <c r="R251" s="41"/>
      <c r="S251" s="41"/>
    </row>
    <row r="252" spans="1:36" ht="16.2" thickBot="1">
      <c r="A252" s="63" t="str">
        <f>IF(F252&lt;&gt;"",1+MAX($A$2:A251),"")</f>
        <v/>
      </c>
      <c r="B252" s="80"/>
      <c r="C252" s="81"/>
      <c r="D252" s="112"/>
      <c r="E252" s="47"/>
      <c r="F252" s="102"/>
      <c r="G252" s="103"/>
      <c r="H252" s="104"/>
      <c r="I252" s="48"/>
      <c r="J252" s="49"/>
      <c r="K252" s="50"/>
      <c r="L252" s="51"/>
      <c r="M252" s="51"/>
      <c r="N252" s="51"/>
      <c r="O252" s="51"/>
      <c r="P252" s="51"/>
      <c r="Q252" s="79"/>
      <c r="R252" s="41"/>
      <c r="S252" s="41"/>
    </row>
    <row r="253" spans="1:36" s="11" customFormat="1" ht="16.2" thickBot="1">
      <c r="A253" s="98" t="str">
        <f>IF(F253&lt;&gt;"",1+MAX($A$2:A252),"")</f>
        <v/>
      </c>
      <c r="B253" s="99"/>
      <c r="C253" s="100"/>
      <c r="D253" s="68" t="s">
        <v>44</v>
      </c>
      <c r="E253" s="69"/>
      <c r="F253" s="69"/>
      <c r="G253" s="69"/>
      <c r="H253" s="69"/>
      <c r="I253" s="69"/>
      <c r="J253" s="87"/>
      <c r="K253" s="87"/>
      <c r="L253" s="88"/>
      <c r="M253" s="89"/>
      <c r="N253" s="88"/>
      <c r="O253" s="70"/>
      <c r="P253" s="70"/>
      <c r="Q253" s="71">
        <f>SUM(Q234:Q252)</f>
        <v>216503.49457000001</v>
      </c>
      <c r="R253" s="56"/>
    </row>
    <row r="254" spans="1:36" s="114" customFormat="1" ht="31.2">
      <c r="A254" s="117"/>
      <c r="B254" s="117"/>
      <c r="C254" s="117"/>
      <c r="D254" s="117"/>
      <c r="E254" s="117"/>
      <c r="F254" s="117"/>
      <c r="G254" s="117"/>
      <c r="H254" s="229" t="s">
        <v>127</v>
      </c>
      <c r="I254" s="230"/>
      <c r="J254" s="208">
        <f>SUM(J17:J253)</f>
        <v>73828.93636037648</v>
      </c>
      <c r="K254" s="221" t="s">
        <v>30</v>
      </c>
      <c r="L254" s="222"/>
      <c r="M254" s="180">
        <f>SUM(M17:M253)</f>
        <v>3693407.6994388234</v>
      </c>
      <c r="N254" s="181" t="s">
        <v>32</v>
      </c>
      <c r="O254" s="182">
        <f>SUM(O17:O253)</f>
        <v>4213805.1256212499</v>
      </c>
      <c r="P254" s="117"/>
      <c r="Q254" s="116"/>
      <c r="S254" s="115"/>
    </row>
    <row r="255" spans="1:36" s="114" customFormat="1">
      <c r="A255" s="118"/>
      <c r="B255" s="119"/>
      <c r="C255" s="120"/>
      <c r="D255" s="121" t="s">
        <v>55</v>
      </c>
      <c r="E255" s="122"/>
      <c r="F255" s="122"/>
      <c r="G255" s="123"/>
      <c r="H255" s="122"/>
      <c r="I255" s="122"/>
      <c r="J255" s="122"/>
      <c r="K255" s="122"/>
      <c r="L255" s="124"/>
      <c r="M255" s="124"/>
      <c r="N255" s="124"/>
      <c r="O255" s="124"/>
      <c r="P255" s="124"/>
      <c r="Q255" s="125">
        <f>SUM(Q8:Q253)/2</f>
        <v>8707212.8250600658</v>
      </c>
    </row>
    <row r="256" spans="1:36" s="114" customFormat="1">
      <c r="A256" s="118"/>
      <c r="B256" s="119"/>
      <c r="C256" s="126"/>
      <c r="D256" s="127" t="s">
        <v>56</v>
      </c>
      <c r="E256" s="128"/>
      <c r="F256" s="120"/>
      <c r="G256" s="128"/>
      <c r="H256" s="120"/>
      <c r="I256" s="120"/>
      <c r="J256" s="120"/>
      <c r="K256" s="120"/>
      <c r="L256" s="129">
        <v>0.05</v>
      </c>
      <c r="M256" s="129"/>
      <c r="N256" s="129"/>
      <c r="O256" s="129"/>
      <c r="P256" s="129"/>
      <c r="Q256" s="125">
        <f>Q255*L256</f>
        <v>435360.64125300333</v>
      </c>
      <c r="R256" s="130"/>
      <c r="S256" s="130"/>
      <c r="T256" s="130"/>
      <c r="U256" s="130"/>
      <c r="V256" s="130"/>
      <c r="W256" s="130"/>
      <c r="X256" s="130"/>
      <c r="Y256" s="130"/>
      <c r="Z256" s="130"/>
      <c r="AA256" s="130"/>
      <c r="AB256" s="130"/>
      <c r="AC256" s="130"/>
      <c r="AD256" s="130"/>
      <c r="AE256" s="130"/>
      <c r="AF256" s="130"/>
      <c r="AG256" s="130"/>
      <c r="AH256" s="130"/>
      <c r="AI256" s="130"/>
      <c r="AJ256" s="130"/>
    </row>
    <row r="257" spans="1:36" s="114" customFormat="1">
      <c r="A257" s="131"/>
      <c r="B257" s="132"/>
      <c r="C257" s="133"/>
      <c r="D257" s="134" t="s">
        <v>123</v>
      </c>
      <c r="E257" s="135"/>
      <c r="F257" s="136"/>
      <c r="G257" s="135"/>
      <c r="H257" s="136"/>
      <c r="I257" s="136"/>
      <c r="J257" s="136"/>
      <c r="K257" s="136"/>
      <c r="L257" s="137">
        <v>0.1</v>
      </c>
      <c r="M257" s="137"/>
      <c r="N257" s="137"/>
      <c r="O257" s="137"/>
      <c r="P257" s="137"/>
      <c r="Q257" s="138">
        <f>Q255*L257</f>
        <v>870721.28250600665</v>
      </c>
      <c r="R257" s="130"/>
      <c r="S257" s="130"/>
      <c r="T257" s="130"/>
      <c r="U257" s="130"/>
      <c r="V257" s="130"/>
      <c r="W257" s="130"/>
      <c r="X257" s="130"/>
      <c r="Y257" s="130"/>
      <c r="Z257" s="130"/>
      <c r="AA257" s="130"/>
      <c r="AB257" s="130"/>
      <c r="AC257" s="130"/>
      <c r="AD257" s="130"/>
      <c r="AE257" s="130"/>
      <c r="AF257" s="130"/>
      <c r="AG257" s="130"/>
      <c r="AH257" s="130"/>
      <c r="AI257" s="130"/>
      <c r="AJ257" s="130"/>
    </row>
    <row r="258" spans="1:36" s="114" customFormat="1">
      <c r="A258" s="131"/>
      <c r="B258" s="132"/>
      <c r="C258" s="133"/>
      <c r="D258" s="134" t="s">
        <v>124</v>
      </c>
      <c r="E258" s="135"/>
      <c r="F258" s="136"/>
      <c r="G258" s="135"/>
      <c r="H258" s="136"/>
      <c r="I258" s="136"/>
      <c r="J258" s="136"/>
      <c r="K258" s="136"/>
      <c r="L258" s="137">
        <v>0.1</v>
      </c>
      <c r="M258" s="137"/>
      <c r="N258" s="137"/>
      <c r="O258" s="137"/>
      <c r="P258" s="137"/>
      <c r="Q258" s="138">
        <f>Q255*L258</f>
        <v>870721.28250600665</v>
      </c>
      <c r="R258" s="130"/>
      <c r="S258" s="130"/>
      <c r="T258" s="130"/>
      <c r="U258" s="130"/>
      <c r="V258" s="130"/>
      <c r="W258" s="130"/>
      <c r="X258" s="130"/>
      <c r="Y258" s="130"/>
      <c r="Z258" s="130"/>
      <c r="AA258" s="130"/>
      <c r="AB258" s="130"/>
      <c r="AC258" s="130"/>
      <c r="AD258" s="130"/>
      <c r="AE258" s="130"/>
      <c r="AF258" s="130"/>
      <c r="AG258" s="130"/>
      <c r="AH258" s="130"/>
      <c r="AI258" s="130"/>
      <c r="AJ258" s="130"/>
    </row>
    <row r="259" spans="1:36" s="114" customFormat="1">
      <c r="A259" s="139"/>
      <c r="B259" s="140"/>
      <c r="C259" s="141"/>
      <c r="D259" s="142" t="s">
        <v>13</v>
      </c>
      <c r="E259" s="143"/>
      <c r="F259" s="144"/>
      <c r="G259" s="143"/>
      <c r="H259" s="144"/>
      <c r="I259" s="144"/>
      <c r="J259" s="144"/>
      <c r="K259" s="144"/>
      <c r="L259" s="145">
        <v>8.5000000000000006E-2</v>
      </c>
      <c r="M259" s="145"/>
      <c r="N259" s="145"/>
      <c r="O259" s="145"/>
      <c r="P259" s="145"/>
      <c r="Q259" s="146">
        <f>Q255*L259</f>
        <v>740113.09013010561</v>
      </c>
      <c r="R259" s="130"/>
      <c r="S259" s="130"/>
      <c r="T259" s="130"/>
      <c r="U259" s="130"/>
      <c r="V259" s="130"/>
      <c r="W259" s="130"/>
      <c r="X259" s="130"/>
      <c r="Y259" s="130"/>
      <c r="Z259" s="130"/>
      <c r="AA259" s="130"/>
      <c r="AB259" s="130"/>
      <c r="AC259" s="130"/>
      <c r="AD259" s="130"/>
      <c r="AE259" s="130"/>
      <c r="AF259" s="130"/>
      <c r="AG259" s="130"/>
      <c r="AH259" s="130"/>
      <c r="AI259" s="130"/>
      <c r="AJ259" s="130"/>
    </row>
    <row r="260" spans="1:36" s="114" customFormat="1">
      <c r="A260" s="139"/>
      <c r="B260" s="140"/>
      <c r="C260" s="141"/>
      <c r="D260" s="142" t="s">
        <v>14</v>
      </c>
      <c r="E260" s="143"/>
      <c r="F260" s="144"/>
      <c r="G260" s="143"/>
      <c r="H260" s="144"/>
      <c r="I260" s="144"/>
      <c r="J260" s="144"/>
      <c r="K260" s="144"/>
      <c r="L260" s="147">
        <v>1.4999999999999999E-2</v>
      </c>
      <c r="M260" s="147"/>
      <c r="N260" s="147"/>
      <c r="O260" s="147"/>
      <c r="P260" s="147"/>
      <c r="Q260" s="146">
        <f>Q255*L260</f>
        <v>130608.19237590098</v>
      </c>
      <c r="R260" s="130"/>
      <c r="S260" s="130"/>
      <c r="T260" s="130"/>
      <c r="U260" s="130"/>
      <c r="V260" s="130"/>
      <c r="W260" s="130"/>
      <c r="X260" s="130"/>
      <c r="Y260" s="130"/>
      <c r="Z260" s="130"/>
      <c r="AA260" s="130"/>
      <c r="AB260" s="130"/>
      <c r="AC260" s="130"/>
      <c r="AD260" s="130"/>
      <c r="AE260" s="130"/>
      <c r="AF260" s="130"/>
      <c r="AG260" s="130"/>
      <c r="AH260" s="130"/>
      <c r="AI260" s="130"/>
      <c r="AJ260" s="130"/>
    </row>
    <row r="261" spans="1:36" s="114" customFormat="1">
      <c r="A261" s="148"/>
      <c r="B261" s="149"/>
      <c r="C261" s="150"/>
      <c r="D261" s="151" t="s">
        <v>15</v>
      </c>
      <c r="E261" s="152"/>
      <c r="F261" s="152"/>
      <c r="G261" s="153"/>
      <c r="H261" s="152"/>
      <c r="I261" s="152"/>
      <c r="J261" s="152"/>
      <c r="K261" s="152"/>
      <c r="L261" s="154"/>
      <c r="M261" s="154"/>
      <c r="N261" s="154"/>
      <c r="O261" s="154"/>
      <c r="P261" s="154"/>
      <c r="Q261" s="155">
        <f>SUM(Q255:Q260)</f>
        <v>11754737.313831087</v>
      </c>
    </row>
  </sheetData>
  <mergeCells count="6">
    <mergeCell ref="K254:L254"/>
    <mergeCell ref="A2:Q2"/>
    <mergeCell ref="B3:C3"/>
    <mergeCell ref="B4:C4"/>
    <mergeCell ref="B5:C5"/>
    <mergeCell ref="H254:I254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92880-24EE-4810-96FA-6EAB75AA99FD}">
  <sheetPr>
    <tabColor rgb="FFFFFF00"/>
  </sheetPr>
  <dimension ref="A1:H52"/>
  <sheetViews>
    <sheetView zoomScale="70" zoomScaleNormal="70" workbookViewId="0">
      <selection activeCell="B1" sqref="B1"/>
    </sheetView>
  </sheetViews>
  <sheetFormatPr defaultColWidth="9.09765625" defaultRowHeight="14.4"/>
  <cols>
    <col min="1" max="1" width="26.8984375" style="179" bestFit="1" customWidth="1"/>
    <col min="2" max="2" width="19.69921875" style="158" customWidth="1"/>
    <col min="3" max="3" width="20.59765625" style="158" customWidth="1"/>
    <col min="4" max="16384" width="9.09765625" style="158"/>
  </cols>
  <sheetData>
    <row r="1" spans="1:3" ht="16.2" thickBot="1">
      <c r="A1" s="157"/>
      <c r="B1" s="159" t="s">
        <v>57</v>
      </c>
      <c r="C1" s="160" t="s">
        <v>58</v>
      </c>
    </row>
    <row r="2" spans="1:3" ht="15.6">
      <c r="A2" s="161"/>
      <c r="B2" s="162"/>
      <c r="C2" s="184"/>
    </row>
    <row r="3" spans="1:3" ht="15.6">
      <c r="A3" s="163" t="s">
        <v>59</v>
      </c>
      <c r="B3" s="164" t="s">
        <v>60</v>
      </c>
      <c r="C3" s="185">
        <v>60</v>
      </c>
    </row>
    <row r="4" spans="1:3" ht="15.6">
      <c r="A4" s="163" t="s">
        <v>8</v>
      </c>
      <c r="B4" s="164" t="s">
        <v>61</v>
      </c>
      <c r="C4" s="185">
        <v>70</v>
      </c>
    </row>
    <row r="5" spans="1:3" ht="15.6">
      <c r="A5" s="163" t="s">
        <v>62</v>
      </c>
      <c r="B5" s="164" t="s">
        <v>63</v>
      </c>
      <c r="C5" s="185">
        <v>70</v>
      </c>
    </row>
    <row r="6" spans="1:3" ht="15.6">
      <c r="A6" s="163" t="s">
        <v>9</v>
      </c>
      <c r="B6" s="164" t="s">
        <v>64</v>
      </c>
      <c r="C6" s="185">
        <v>70</v>
      </c>
    </row>
    <row r="7" spans="1:3" ht="15.6">
      <c r="A7" s="163" t="s">
        <v>10</v>
      </c>
      <c r="B7" s="164" t="s">
        <v>65</v>
      </c>
      <c r="C7" s="185">
        <v>60</v>
      </c>
    </row>
    <row r="8" spans="1:3" ht="15.6">
      <c r="A8" s="163" t="s">
        <v>66</v>
      </c>
      <c r="B8" s="164" t="s">
        <v>66</v>
      </c>
      <c r="C8" s="185">
        <v>60</v>
      </c>
    </row>
    <row r="9" spans="1:3" ht="15.6">
      <c r="A9" s="163" t="s">
        <v>67</v>
      </c>
      <c r="B9" s="164" t="s">
        <v>67</v>
      </c>
      <c r="C9" s="185">
        <v>55</v>
      </c>
    </row>
    <row r="10" spans="1:3" ht="15.6">
      <c r="A10" s="163" t="s">
        <v>68</v>
      </c>
      <c r="B10" s="164" t="s">
        <v>69</v>
      </c>
      <c r="C10" s="185">
        <v>50</v>
      </c>
    </row>
    <row r="11" spans="1:3" ht="15.6">
      <c r="A11" s="163" t="s">
        <v>70</v>
      </c>
      <c r="B11" s="164" t="s">
        <v>71</v>
      </c>
      <c r="C11" s="185">
        <v>60</v>
      </c>
    </row>
    <row r="12" spans="1:3" ht="15.6">
      <c r="A12" s="163" t="s">
        <v>72</v>
      </c>
      <c r="B12" s="164" t="s">
        <v>73</v>
      </c>
      <c r="C12" s="185">
        <v>70</v>
      </c>
    </row>
    <row r="13" spans="1:3" ht="15.6">
      <c r="A13" s="163" t="s">
        <v>5</v>
      </c>
      <c r="B13" s="164" t="s">
        <v>74</v>
      </c>
      <c r="C13" s="185">
        <v>70</v>
      </c>
    </row>
    <row r="14" spans="1:3" ht="15.6">
      <c r="A14" s="163" t="s">
        <v>116</v>
      </c>
      <c r="B14" s="164" t="s">
        <v>117</v>
      </c>
      <c r="C14" s="185">
        <v>70</v>
      </c>
    </row>
    <row r="15" spans="1:3" ht="15.6">
      <c r="A15" s="163" t="s">
        <v>119</v>
      </c>
      <c r="B15" s="164" t="s">
        <v>118</v>
      </c>
      <c r="C15" s="185">
        <v>70</v>
      </c>
    </row>
    <row r="16" spans="1:3" ht="15.6">
      <c r="A16" s="163" t="s">
        <v>120</v>
      </c>
      <c r="B16" s="164" t="s">
        <v>76</v>
      </c>
      <c r="C16" s="185">
        <v>85</v>
      </c>
    </row>
    <row r="17" spans="1:3" ht="15.6">
      <c r="A17" s="163" t="s">
        <v>121</v>
      </c>
      <c r="B17" s="164" t="s">
        <v>122</v>
      </c>
      <c r="C17" s="185">
        <v>65</v>
      </c>
    </row>
    <row r="18" spans="1:3" ht="15.6">
      <c r="A18" s="163" t="s">
        <v>75</v>
      </c>
      <c r="B18" s="164" t="s">
        <v>75</v>
      </c>
      <c r="C18" s="183">
        <v>45</v>
      </c>
    </row>
    <row r="19" spans="1:3" ht="16.2" thickBot="1">
      <c r="A19" s="165"/>
      <c r="B19" s="166"/>
      <c r="C19" s="167"/>
    </row>
    <row r="20" spans="1:3" ht="15" thickBot="1">
      <c r="A20" s="157"/>
      <c r="B20" s="157"/>
      <c r="C20" s="157"/>
    </row>
    <row r="21" spans="1:3" ht="15" thickBot="1">
      <c r="A21" s="168" t="s">
        <v>77</v>
      </c>
      <c r="B21" s="169">
        <v>0</v>
      </c>
      <c r="C21" s="157"/>
    </row>
    <row r="22" spans="1:3" ht="15" thickBot="1">
      <c r="A22" s="157"/>
      <c r="B22" s="157"/>
      <c r="C22" s="157"/>
    </row>
    <row r="23" spans="1:3" ht="16.2" thickBot="1">
      <c r="A23" s="157"/>
      <c r="B23" s="231" t="s">
        <v>24</v>
      </c>
      <c r="C23" s="232"/>
    </row>
    <row r="24" spans="1:3" ht="15.6">
      <c r="A24" s="170" t="s">
        <v>78</v>
      </c>
      <c r="B24" s="171" t="s">
        <v>51</v>
      </c>
      <c r="C24" s="172">
        <v>0</v>
      </c>
    </row>
    <row r="25" spans="1:3" ht="15.6">
      <c r="A25" s="173" t="s">
        <v>79</v>
      </c>
      <c r="B25" s="174" t="s">
        <v>53</v>
      </c>
      <c r="C25" s="175">
        <v>0.05</v>
      </c>
    </row>
    <row r="26" spans="1:3" ht="15.6">
      <c r="A26" s="173" t="s">
        <v>80</v>
      </c>
      <c r="B26" s="174" t="s">
        <v>49</v>
      </c>
      <c r="C26" s="175">
        <v>0.1</v>
      </c>
    </row>
    <row r="27" spans="1:3" ht="15.6">
      <c r="A27" s="173" t="s">
        <v>81</v>
      </c>
      <c r="B27" s="174" t="s">
        <v>82</v>
      </c>
      <c r="C27" s="175">
        <v>0.1</v>
      </c>
    </row>
    <row r="28" spans="1:3" ht="15.6">
      <c r="A28" s="173" t="s">
        <v>83</v>
      </c>
      <c r="B28" s="174" t="s">
        <v>46</v>
      </c>
      <c r="C28" s="175">
        <v>0.1</v>
      </c>
    </row>
    <row r="29" spans="1:3" ht="15.6">
      <c r="A29" s="173" t="s">
        <v>84</v>
      </c>
      <c r="B29" s="174" t="s">
        <v>37</v>
      </c>
      <c r="C29" s="175">
        <v>0</v>
      </c>
    </row>
    <row r="30" spans="1:3" ht="15.6">
      <c r="A30" s="173" t="s">
        <v>85</v>
      </c>
      <c r="B30" s="174" t="s">
        <v>86</v>
      </c>
      <c r="C30" s="175">
        <v>0</v>
      </c>
    </row>
    <row r="31" spans="1:3" ht="15.6">
      <c r="A31" s="173" t="s">
        <v>87</v>
      </c>
      <c r="B31" s="174" t="s">
        <v>88</v>
      </c>
      <c r="C31" s="175">
        <v>0</v>
      </c>
    </row>
    <row r="32" spans="1:3" ht="15.6">
      <c r="A32" s="173" t="s">
        <v>89</v>
      </c>
      <c r="B32" s="174" t="s">
        <v>90</v>
      </c>
      <c r="C32" s="175">
        <v>0</v>
      </c>
    </row>
    <row r="33" spans="1:3" ht="15.6">
      <c r="A33" s="173" t="s">
        <v>91</v>
      </c>
      <c r="B33" s="174" t="s">
        <v>92</v>
      </c>
      <c r="C33" s="175">
        <v>0</v>
      </c>
    </row>
    <row r="34" spans="1:3" ht="15.6">
      <c r="A34" s="173" t="s">
        <v>93</v>
      </c>
      <c r="B34" s="174" t="s">
        <v>94</v>
      </c>
      <c r="C34" s="175">
        <v>0.1</v>
      </c>
    </row>
    <row r="35" spans="1:3" ht="15.6">
      <c r="A35" s="173" t="s">
        <v>95</v>
      </c>
      <c r="B35" s="174" t="s">
        <v>47</v>
      </c>
      <c r="C35" s="175">
        <v>0.1</v>
      </c>
    </row>
    <row r="36" spans="1:3" ht="15.6">
      <c r="A36" s="173" t="s">
        <v>96</v>
      </c>
      <c r="B36" s="174" t="s">
        <v>97</v>
      </c>
      <c r="C36" s="175">
        <v>0</v>
      </c>
    </row>
    <row r="37" spans="1:3" ht="15.6">
      <c r="A37" s="173" t="s">
        <v>98</v>
      </c>
      <c r="B37" s="174" t="s">
        <v>99</v>
      </c>
      <c r="C37" s="175">
        <v>0</v>
      </c>
    </row>
    <row r="38" spans="1:3" ht="15.6">
      <c r="A38" s="173" t="s">
        <v>100</v>
      </c>
      <c r="B38" s="174" t="s">
        <v>100</v>
      </c>
      <c r="C38" s="175">
        <v>0.1</v>
      </c>
    </row>
    <row r="39" spans="1:3" ht="15.6">
      <c r="A39" s="173" t="s">
        <v>101</v>
      </c>
      <c r="B39" s="174" t="s">
        <v>102</v>
      </c>
      <c r="C39" s="175">
        <v>0</v>
      </c>
    </row>
    <row r="40" spans="1:3" ht="15.6">
      <c r="A40" s="173" t="s">
        <v>103</v>
      </c>
      <c r="B40" s="174" t="s">
        <v>104</v>
      </c>
      <c r="C40" s="175">
        <v>0</v>
      </c>
    </row>
    <row r="41" spans="1:3" ht="15.6">
      <c r="A41" s="173" t="s">
        <v>105</v>
      </c>
      <c r="B41" s="174" t="s">
        <v>106</v>
      </c>
      <c r="C41" s="175">
        <v>0</v>
      </c>
    </row>
    <row r="42" spans="1:3" ht="15.6">
      <c r="A42" s="173" t="s">
        <v>96</v>
      </c>
      <c r="B42" s="174" t="s">
        <v>107</v>
      </c>
      <c r="C42" s="175">
        <v>0</v>
      </c>
    </row>
    <row r="43" spans="1:3" ht="15.6">
      <c r="A43" s="173" t="s">
        <v>108</v>
      </c>
      <c r="B43" s="174" t="s">
        <v>109</v>
      </c>
      <c r="C43" s="175">
        <v>0</v>
      </c>
    </row>
    <row r="44" spans="1:3" ht="15.6">
      <c r="A44" s="173" t="s">
        <v>110</v>
      </c>
      <c r="B44" s="174" t="s">
        <v>111</v>
      </c>
      <c r="C44" s="175">
        <v>0</v>
      </c>
    </row>
    <row r="45" spans="1:3" ht="15.6">
      <c r="A45" s="173" t="s">
        <v>112</v>
      </c>
      <c r="B45" s="174" t="s">
        <v>113</v>
      </c>
      <c r="C45" s="175">
        <v>0.1</v>
      </c>
    </row>
    <row r="46" spans="1:3" ht="16.2" thickBot="1">
      <c r="A46" s="176" t="s">
        <v>114</v>
      </c>
      <c r="B46" s="177" t="s">
        <v>114</v>
      </c>
      <c r="C46" s="178">
        <v>0</v>
      </c>
    </row>
    <row r="49" spans="1:8">
      <c r="A49" s="206" t="s">
        <v>128</v>
      </c>
      <c r="B49" s="207"/>
      <c r="C49" s="207"/>
      <c r="D49" s="207"/>
      <c r="E49" s="207"/>
      <c r="F49" s="207"/>
      <c r="G49" s="207"/>
      <c r="H49" s="207"/>
    </row>
    <row r="50" spans="1:8">
      <c r="A50" s="207" t="s">
        <v>131</v>
      </c>
      <c r="B50" s="207"/>
      <c r="C50" s="207"/>
      <c r="D50" s="207"/>
      <c r="E50" s="207"/>
      <c r="F50" s="207"/>
      <c r="G50" s="207"/>
      <c r="H50" s="207"/>
    </row>
    <row r="51" spans="1:8">
      <c r="A51" s="207" t="s">
        <v>129</v>
      </c>
      <c r="B51" s="207"/>
      <c r="C51" s="207"/>
      <c r="D51" s="207"/>
      <c r="E51" s="207"/>
      <c r="F51" s="207"/>
      <c r="G51" s="207"/>
      <c r="H51" s="207"/>
    </row>
    <row r="52" spans="1:8">
      <c r="A52" s="207" t="s">
        <v>130</v>
      </c>
      <c r="B52" s="207"/>
      <c r="C52" s="207"/>
      <c r="D52" s="207"/>
      <c r="E52" s="207"/>
      <c r="F52" s="207"/>
      <c r="G52" s="207"/>
      <c r="H52" s="207"/>
    </row>
  </sheetData>
  <mergeCells count="1">
    <mergeCell ref="B23:C2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9B016A65-E646-4406-8DC8-E987E2D8CCC2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General Summary</vt:lpstr>
      <vt:lpstr>Takeoff Breakdown</vt:lpstr>
      <vt:lpstr>LABOR SHEET</vt:lpstr>
      <vt:lpstr>'General Summary'!Print_Area</vt:lpstr>
      <vt:lpstr>'Takeoff Breakdown'!Print_Area</vt:lpstr>
      <vt:lpstr>'Takeoff Breakdown'!Print_Titles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CH Shahzaib</cp:lastModifiedBy>
  <cp:lastPrinted>2023-01-11T20:23:00Z</cp:lastPrinted>
  <dcterms:created xsi:type="dcterms:W3CDTF">2016-03-30T11:57:00Z</dcterms:created>
  <dcterms:modified xsi:type="dcterms:W3CDTF">2026-08-07T20:36:44Z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{9B016A65-E646-4406-8DC8-E987E2D8CCC2}</vt:lpwstr>
  </property>
  <property fmtid="{D5CDD505-2E9C-101B-9397-08002B2CF9AE}" pid="6" name="ICV">
    <vt:lpwstr>EC1FCEACD50048F7BE22E171269F4281_12</vt:lpwstr>
  </property>
  <property fmtid="{D5CDD505-2E9C-101B-9397-08002B2CF9AE}" pid="7" name="KSOProductBuildVer">
    <vt:lpwstr>1033-12.2.0.13431</vt:lpwstr>
  </property>
</Properties>
</file>