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City\Downloads\"/>
    </mc:Choice>
  </mc:AlternateContent>
  <xr:revisionPtr revIDLastSave="0" documentId="13_ncr:1_{F2298233-D537-4BB1-BA29-D6A210099CE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keoff Breakdown" sheetId="1" r:id="rId1"/>
    <sheet name="LABOR SHEET" sheetId="6" r:id="rId2"/>
  </sheets>
  <definedNames>
    <definedName name="_xlnm._FilterDatabase" localSheetId="0" hidden="1">'Takeoff Breakdown'!$A$1:$AJ$346</definedName>
    <definedName name="_xlnm.Print_Area" localSheetId="0">'Takeoff Breakdown'!$A$2:$Q$346</definedName>
    <definedName name="_xlnm.Print_Titles" localSheetId="0">'Takeoff Breakdown'!$1:$6</definedName>
  </definedNames>
  <calcPr calcId="181029"/>
</workbook>
</file>

<file path=xl/calcChain.xml><?xml version="1.0" encoding="utf-8"?>
<calcChain xmlns="http://schemas.openxmlformats.org/spreadsheetml/2006/main">
  <c r="Q346" i="1" l="1"/>
  <c r="Q345" i="1"/>
  <c r="Q344" i="1"/>
  <c r="Q343" i="1"/>
  <c r="Q342" i="1"/>
  <c r="Q341" i="1"/>
  <c r="O340" i="1"/>
  <c r="M340" i="1"/>
  <c r="J340" i="1"/>
  <c r="Q339" i="1"/>
  <c r="A338" i="1"/>
  <c r="A337" i="1"/>
  <c r="Q336" i="1"/>
  <c r="P336" i="1"/>
  <c r="O336" i="1"/>
  <c r="M336" i="1"/>
  <c r="L336" i="1"/>
  <c r="K336" i="1"/>
  <c r="J336" i="1"/>
  <c r="G336" i="1"/>
  <c r="E336" i="1"/>
  <c r="A336" i="1"/>
  <c r="A335" i="1"/>
  <c r="Q333" i="1"/>
  <c r="P333" i="1"/>
  <c r="O333" i="1"/>
  <c r="M333" i="1"/>
  <c r="L333" i="1"/>
  <c r="K333" i="1"/>
  <c r="J333" i="1"/>
  <c r="G333" i="1"/>
  <c r="A333" i="1"/>
  <c r="Q332" i="1"/>
  <c r="P332" i="1"/>
  <c r="O332" i="1"/>
  <c r="M332" i="1"/>
  <c r="L332" i="1"/>
  <c r="K332" i="1"/>
  <c r="J332" i="1"/>
  <c r="G332" i="1"/>
  <c r="A332" i="1"/>
  <c r="Q331" i="1"/>
  <c r="P331" i="1"/>
  <c r="O331" i="1"/>
  <c r="M331" i="1"/>
  <c r="L331" i="1"/>
  <c r="K331" i="1"/>
  <c r="J331" i="1"/>
  <c r="G331" i="1"/>
  <c r="A331" i="1"/>
  <c r="Q330" i="1"/>
  <c r="P330" i="1"/>
  <c r="O330" i="1"/>
  <c r="M330" i="1"/>
  <c r="L330" i="1"/>
  <c r="K330" i="1"/>
  <c r="J330" i="1"/>
  <c r="G330" i="1"/>
  <c r="A330" i="1"/>
  <c r="Q329" i="1"/>
  <c r="P329" i="1"/>
  <c r="O329" i="1"/>
  <c r="M329" i="1"/>
  <c r="L329" i="1"/>
  <c r="K329" i="1"/>
  <c r="J329" i="1"/>
  <c r="G329" i="1"/>
  <c r="A329" i="1"/>
  <c r="Q328" i="1"/>
  <c r="P328" i="1"/>
  <c r="O328" i="1"/>
  <c r="M328" i="1"/>
  <c r="L328" i="1"/>
  <c r="K328" i="1"/>
  <c r="J328" i="1"/>
  <c r="G328" i="1"/>
  <c r="A328" i="1"/>
  <c r="Q327" i="1"/>
  <c r="P327" i="1"/>
  <c r="O327" i="1"/>
  <c r="M327" i="1"/>
  <c r="L327" i="1"/>
  <c r="K327" i="1"/>
  <c r="J327" i="1"/>
  <c r="G327" i="1"/>
  <c r="A327" i="1"/>
  <c r="Q326" i="1"/>
  <c r="P326" i="1"/>
  <c r="O326" i="1"/>
  <c r="M326" i="1"/>
  <c r="L326" i="1"/>
  <c r="K326" i="1"/>
  <c r="J326" i="1"/>
  <c r="G326" i="1"/>
  <c r="A326" i="1"/>
  <c r="Q325" i="1"/>
  <c r="P325" i="1"/>
  <c r="O325" i="1"/>
  <c r="M325" i="1"/>
  <c r="L325" i="1"/>
  <c r="K325" i="1"/>
  <c r="J325" i="1"/>
  <c r="G325" i="1"/>
  <c r="A325" i="1"/>
  <c r="A324" i="1"/>
  <c r="Q322" i="1"/>
  <c r="P322" i="1"/>
  <c r="O322" i="1"/>
  <c r="M322" i="1"/>
  <c r="L322" i="1"/>
  <c r="K322" i="1"/>
  <c r="J322" i="1"/>
  <c r="G322" i="1"/>
  <c r="A322" i="1"/>
  <c r="Q321" i="1"/>
  <c r="P321" i="1"/>
  <c r="O321" i="1"/>
  <c r="M321" i="1"/>
  <c r="L321" i="1"/>
  <c r="K321" i="1"/>
  <c r="J321" i="1"/>
  <c r="G321" i="1"/>
  <c r="A321" i="1"/>
  <c r="Q320" i="1"/>
  <c r="P320" i="1"/>
  <c r="O320" i="1"/>
  <c r="M320" i="1"/>
  <c r="L320" i="1"/>
  <c r="K320" i="1"/>
  <c r="J320" i="1"/>
  <c r="G320" i="1"/>
  <c r="A320" i="1"/>
  <c r="Q319" i="1"/>
  <c r="P319" i="1"/>
  <c r="O319" i="1"/>
  <c r="M319" i="1"/>
  <c r="L319" i="1"/>
  <c r="K319" i="1"/>
  <c r="J319" i="1"/>
  <c r="G319" i="1"/>
  <c r="A319" i="1"/>
  <c r="Q318" i="1"/>
  <c r="P318" i="1"/>
  <c r="O318" i="1"/>
  <c r="M318" i="1"/>
  <c r="L318" i="1"/>
  <c r="K318" i="1"/>
  <c r="J318" i="1"/>
  <c r="G318" i="1"/>
  <c r="A318" i="1"/>
  <c r="A317" i="1"/>
  <c r="Q315" i="1"/>
  <c r="P315" i="1"/>
  <c r="O315" i="1"/>
  <c r="M315" i="1"/>
  <c r="L315" i="1"/>
  <c r="K315" i="1"/>
  <c r="J315" i="1"/>
  <c r="G315" i="1"/>
  <c r="A315" i="1"/>
  <c r="Q314" i="1"/>
  <c r="P314" i="1"/>
  <c r="O314" i="1"/>
  <c r="M314" i="1"/>
  <c r="L314" i="1"/>
  <c r="K314" i="1"/>
  <c r="J314" i="1"/>
  <c r="G314" i="1"/>
  <c r="A314" i="1"/>
  <c r="Q313" i="1"/>
  <c r="P313" i="1"/>
  <c r="O313" i="1"/>
  <c r="M313" i="1"/>
  <c r="L313" i="1"/>
  <c r="K313" i="1"/>
  <c r="J313" i="1"/>
  <c r="G313" i="1"/>
  <c r="A313" i="1"/>
  <c r="Q312" i="1"/>
  <c r="P312" i="1"/>
  <c r="O312" i="1"/>
  <c r="M312" i="1"/>
  <c r="L312" i="1"/>
  <c r="K312" i="1"/>
  <c r="J312" i="1"/>
  <c r="G312" i="1"/>
  <c r="A312" i="1"/>
  <c r="Q311" i="1"/>
  <c r="P311" i="1"/>
  <c r="O311" i="1"/>
  <c r="M311" i="1"/>
  <c r="L311" i="1"/>
  <c r="K311" i="1"/>
  <c r="J311" i="1"/>
  <c r="G311" i="1"/>
  <c r="A311" i="1"/>
  <c r="Q310" i="1"/>
  <c r="P310" i="1"/>
  <c r="O310" i="1"/>
  <c r="M310" i="1"/>
  <c r="L310" i="1"/>
  <c r="K310" i="1"/>
  <c r="J310" i="1"/>
  <c r="G310" i="1"/>
  <c r="A310" i="1"/>
  <c r="Q309" i="1"/>
  <c r="P309" i="1"/>
  <c r="O309" i="1"/>
  <c r="M309" i="1"/>
  <c r="L309" i="1"/>
  <c r="K309" i="1"/>
  <c r="J309" i="1"/>
  <c r="G309" i="1"/>
  <c r="A309" i="1"/>
  <c r="Q308" i="1"/>
  <c r="P308" i="1"/>
  <c r="O308" i="1"/>
  <c r="M308" i="1"/>
  <c r="L308" i="1"/>
  <c r="K308" i="1"/>
  <c r="J308" i="1"/>
  <c r="G308" i="1"/>
  <c r="A308" i="1"/>
  <c r="Q307" i="1"/>
  <c r="P307" i="1"/>
  <c r="O307" i="1"/>
  <c r="M307" i="1"/>
  <c r="L307" i="1"/>
  <c r="K307" i="1"/>
  <c r="J307" i="1"/>
  <c r="G307" i="1"/>
  <c r="A307" i="1"/>
  <c r="Q306" i="1"/>
  <c r="P306" i="1"/>
  <c r="O306" i="1"/>
  <c r="M306" i="1"/>
  <c r="L306" i="1"/>
  <c r="K306" i="1"/>
  <c r="J306" i="1"/>
  <c r="G306" i="1"/>
  <c r="A306" i="1"/>
  <c r="Q305" i="1"/>
  <c r="P305" i="1"/>
  <c r="O305" i="1"/>
  <c r="M305" i="1"/>
  <c r="L305" i="1"/>
  <c r="K305" i="1"/>
  <c r="J305" i="1"/>
  <c r="G305" i="1"/>
  <c r="A305" i="1"/>
  <c r="Q304" i="1"/>
  <c r="P304" i="1"/>
  <c r="O304" i="1"/>
  <c r="M304" i="1"/>
  <c r="L304" i="1"/>
  <c r="K304" i="1"/>
  <c r="J304" i="1"/>
  <c r="G304" i="1"/>
  <c r="A304" i="1"/>
  <c r="Q303" i="1"/>
  <c r="P303" i="1"/>
  <c r="O303" i="1"/>
  <c r="M303" i="1"/>
  <c r="L303" i="1"/>
  <c r="K303" i="1"/>
  <c r="J303" i="1"/>
  <c r="G303" i="1"/>
  <c r="A303" i="1"/>
  <c r="Q302" i="1"/>
  <c r="P302" i="1"/>
  <c r="O302" i="1"/>
  <c r="M302" i="1"/>
  <c r="L302" i="1"/>
  <c r="K302" i="1"/>
  <c r="J302" i="1"/>
  <c r="G302" i="1"/>
  <c r="A302" i="1"/>
  <c r="Q301" i="1"/>
  <c r="P301" i="1"/>
  <c r="O301" i="1"/>
  <c r="M301" i="1"/>
  <c r="L301" i="1"/>
  <c r="K301" i="1"/>
  <c r="J301" i="1"/>
  <c r="G301" i="1"/>
  <c r="A301" i="1"/>
  <c r="Q300" i="1"/>
  <c r="P300" i="1"/>
  <c r="O300" i="1"/>
  <c r="N300" i="1"/>
  <c r="M300" i="1"/>
  <c r="L300" i="1"/>
  <c r="K300" i="1"/>
  <c r="J300" i="1"/>
  <c r="I300" i="1"/>
  <c r="G300" i="1"/>
  <c r="A300" i="1"/>
  <c r="Q299" i="1"/>
  <c r="P299" i="1"/>
  <c r="O299" i="1"/>
  <c r="M299" i="1"/>
  <c r="L299" i="1"/>
  <c r="K299" i="1"/>
  <c r="J299" i="1"/>
  <c r="G299" i="1"/>
  <c r="A299" i="1"/>
  <c r="Q298" i="1"/>
  <c r="P298" i="1"/>
  <c r="O298" i="1"/>
  <c r="M298" i="1"/>
  <c r="L298" i="1"/>
  <c r="K298" i="1"/>
  <c r="J298" i="1"/>
  <c r="G298" i="1"/>
  <c r="A298" i="1"/>
  <c r="Q297" i="1"/>
  <c r="P297" i="1"/>
  <c r="O297" i="1"/>
  <c r="M297" i="1"/>
  <c r="L297" i="1"/>
  <c r="K297" i="1"/>
  <c r="J297" i="1"/>
  <c r="G297" i="1"/>
  <c r="A297" i="1"/>
  <c r="Q296" i="1"/>
  <c r="P296" i="1"/>
  <c r="O296" i="1"/>
  <c r="M296" i="1"/>
  <c r="L296" i="1"/>
  <c r="K296" i="1"/>
  <c r="J296" i="1"/>
  <c r="G296" i="1"/>
  <c r="A296" i="1"/>
  <c r="Q295" i="1"/>
  <c r="P295" i="1"/>
  <c r="O295" i="1"/>
  <c r="M295" i="1"/>
  <c r="L295" i="1"/>
  <c r="K295" i="1"/>
  <c r="J295" i="1"/>
  <c r="G295" i="1"/>
  <c r="A295" i="1"/>
  <c r="Q294" i="1"/>
  <c r="P294" i="1"/>
  <c r="O294" i="1"/>
  <c r="M294" i="1"/>
  <c r="L294" i="1"/>
  <c r="K294" i="1"/>
  <c r="J294" i="1"/>
  <c r="G294" i="1"/>
  <c r="A294" i="1"/>
  <c r="Q293" i="1"/>
  <c r="P293" i="1"/>
  <c r="O293" i="1"/>
  <c r="M293" i="1"/>
  <c r="L293" i="1"/>
  <c r="K293" i="1"/>
  <c r="J293" i="1"/>
  <c r="G293" i="1"/>
  <c r="A293" i="1"/>
  <c r="Q292" i="1"/>
  <c r="P292" i="1"/>
  <c r="O292" i="1"/>
  <c r="M292" i="1"/>
  <c r="L292" i="1"/>
  <c r="K292" i="1"/>
  <c r="J292" i="1"/>
  <c r="G292" i="1"/>
  <c r="A292" i="1"/>
  <c r="Q291" i="1"/>
  <c r="P291" i="1"/>
  <c r="O291" i="1"/>
  <c r="M291" i="1"/>
  <c r="L291" i="1"/>
  <c r="K291" i="1"/>
  <c r="J291" i="1"/>
  <c r="G291" i="1"/>
  <c r="A291" i="1"/>
  <c r="Q290" i="1"/>
  <c r="P290" i="1"/>
  <c r="O290" i="1"/>
  <c r="M290" i="1"/>
  <c r="L290" i="1"/>
  <c r="K290" i="1"/>
  <c r="J290" i="1"/>
  <c r="G290" i="1"/>
  <c r="A290" i="1"/>
  <c r="A289" i="1"/>
  <c r="Q287" i="1"/>
  <c r="P287" i="1"/>
  <c r="O287" i="1"/>
  <c r="M287" i="1"/>
  <c r="L287" i="1"/>
  <c r="K287" i="1"/>
  <c r="J287" i="1"/>
  <c r="G287" i="1"/>
  <c r="E287" i="1"/>
  <c r="A287" i="1"/>
  <c r="A286" i="1"/>
  <c r="Q284" i="1"/>
  <c r="P284" i="1"/>
  <c r="O284" i="1"/>
  <c r="M284" i="1"/>
  <c r="L284" i="1"/>
  <c r="K284" i="1"/>
  <c r="J284" i="1"/>
  <c r="G284" i="1"/>
  <c r="E284" i="1"/>
  <c r="A284" i="1"/>
  <c r="Q283" i="1"/>
  <c r="P283" i="1"/>
  <c r="O283" i="1"/>
  <c r="M283" i="1"/>
  <c r="L283" i="1"/>
  <c r="K283" i="1"/>
  <c r="J283" i="1"/>
  <c r="G283" i="1"/>
  <c r="A283" i="1"/>
  <c r="Q282" i="1"/>
  <c r="P282" i="1"/>
  <c r="O282" i="1"/>
  <c r="M282" i="1"/>
  <c r="L282" i="1"/>
  <c r="K282" i="1"/>
  <c r="J282" i="1"/>
  <c r="G282" i="1"/>
  <c r="E282" i="1"/>
  <c r="A282" i="1"/>
  <c r="Q281" i="1"/>
  <c r="P281" i="1"/>
  <c r="O281" i="1"/>
  <c r="M281" i="1"/>
  <c r="L281" i="1"/>
  <c r="K281" i="1"/>
  <c r="J281" i="1"/>
  <c r="G281" i="1"/>
  <c r="E281" i="1"/>
  <c r="A281" i="1"/>
  <c r="A280" i="1"/>
  <c r="Q278" i="1"/>
  <c r="P278" i="1"/>
  <c r="O278" i="1"/>
  <c r="M278" i="1"/>
  <c r="L278" i="1"/>
  <c r="K278" i="1"/>
  <c r="J278" i="1"/>
  <c r="G278" i="1"/>
  <c r="A278" i="1"/>
  <c r="Q277" i="1"/>
  <c r="P277" i="1"/>
  <c r="O277" i="1"/>
  <c r="M277" i="1"/>
  <c r="L277" i="1"/>
  <c r="K277" i="1"/>
  <c r="J277" i="1"/>
  <c r="G277" i="1"/>
  <c r="E277" i="1"/>
  <c r="A277" i="1"/>
  <c r="Q276" i="1"/>
  <c r="P276" i="1"/>
  <c r="O276" i="1"/>
  <c r="M276" i="1"/>
  <c r="L276" i="1"/>
  <c r="K276" i="1"/>
  <c r="J276" i="1"/>
  <c r="G276" i="1"/>
  <c r="E276" i="1"/>
  <c r="A276" i="1"/>
  <c r="A275" i="1"/>
  <c r="Q273" i="1"/>
  <c r="P273" i="1"/>
  <c r="O273" i="1"/>
  <c r="M273" i="1"/>
  <c r="L273" i="1"/>
  <c r="K273" i="1"/>
  <c r="J273" i="1"/>
  <c r="G273" i="1"/>
  <c r="A273" i="1"/>
  <c r="A272" i="1"/>
  <c r="Q270" i="1"/>
  <c r="P270" i="1"/>
  <c r="O270" i="1"/>
  <c r="M270" i="1"/>
  <c r="L270" i="1"/>
  <c r="K270" i="1"/>
  <c r="J270" i="1"/>
  <c r="G270" i="1"/>
  <c r="A270" i="1"/>
  <c r="A269" i="1"/>
  <c r="Q267" i="1"/>
  <c r="P267" i="1"/>
  <c r="O267" i="1"/>
  <c r="M267" i="1"/>
  <c r="L267" i="1"/>
  <c r="K267" i="1"/>
  <c r="J267" i="1"/>
  <c r="G267" i="1"/>
  <c r="A267" i="1"/>
  <c r="Q266" i="1"/>
  <c r="P266" i="1"/>
  <c r="O266" i="1"/>
  <c r="M266" i="1"/>
  <c r="L266" i="1"/>
  <c r="K266" i="1"/>
  <c r="J266" i="1"/>
  <c r="G266" i="1"/>
  <c r="A266" i="1"/>
  <c r="Q265" i="1"/>
  <c r="P265" i="1"/>
  <c r="O265" i="1"/>
  <c r="M265" i="1"/>
  <c r="L265" i="1"/>
  <c r="K265" i="1"/>
  <c r="J265" i="1"/>
  <c r="G265" i="1"/>
  <c r="A265" i="1"/>
  <c r="Q264" i="1"/>
  <c r="P264" i="1"/>
  <c r="O264" i="1"/>
  <c r="M264" i="1"/>
  <c r="L264" i="1"/>
  <c r="K264" i="1"/>
  <c r="J264" i="1"/>
  <c r="G264" i="1"/>
  <c r="A264" i="1"/>
  <c r="Q263" i="1"/>
  <c r="P263" i="1"/>
  <c r="O263" i="1"/>
  <c r="M263" i="1"/>
  <c r="L263" i="1"/>
  <c r="K263" i="1"/>
  <c r="J263" i="1"/>
  <c r="G263" i="1"/>
  <c r="A263" i="1"/>
  <c r="A262" i="1"/>
  <c r="Q260" i="1"/>
  <c r="P260" i="1"/>
  <c r="O260" i="1"/>
  <c r="M260" i="1"/>
  <c r="L260" i="1"/>
  <c r="K260" i="1"/>
  <c r="J260" i="1"/>
  <c r="G260" i="1"/>
  <c r="A260" i="1"/>
  <c r="Q259" i="1"/>
  <c r="P259" i="1"/>
  <c r="O259" i="1"/>
  <c r="M259" i="1"/>
  <c r="L259" i="1"/>
  <c r="K259" i="1"/>
  <c r="J259" i="1"/>
  <c r="G259" i="1"/>
  <c r="A259" i="1"/>
  <c r="Q258" i="1"/>
  <c r="P258" i="1"/>
  <c r="O258" i="1"/>
  <c r="M258" i="1"/>
  <c r="L258" i="1"/>
  <c r="K258" i="1"/>
  <c r="J258" i="1"/>
  <c r="G258" i="1"/>
  <c r="A258" i="1"/>
  <c r="Q257" i="1"/>
  <c r="P257" i="1"/>
  <c r="O257" i="1"/>
  <c r="M257" i="1"/>
  <c r="L257" i="1"/>
  <c r="K257" i="1"/>
  <c r="J257" i="1"/>
  <c r="G257" i="1"/>
  <c r="A257" i="1"/>
  <c r="Q256" i="1"/>
  <c r="P256" i="1"/>
  <c r="O256" i="1"/>
  <c r="M256" i="1"/>
  <c r="L256" i="1"/>
  <c r="K256" i="1"/>
  <c r="J256" i="1"/>
  <c r="G256" i="1"/>
  <c r="A256" i="1"/>
  <c r="Q255" i="1"/>
  <c r="P255" i="1"/>
  <c r="O255" i="1"/>
  <c r="M255" i="1"/>
  <c r="L255" i="1"/>
  <c r="K255" i="1"/>
  <c r="J255" i="1"/>
  <c r="G255" i="1"/>
  <c r="A255" i="1"/>
  <c r="Q254" i="1"/>
  <c r="P254" i="1"/>
  <c r="O254" i="1"/>
  <c r="M254" i="1"/>
  <c r="L254" i="1"/>
  <c r="K254" i="1"/>
  <c r="J254" i="1"/>
  <c r="G254" i="1"/>
  <c r="A254" i="1"/>
  <c r="A253" i="1"/>
  <c r="A252" i="1"/>
  <c r="A251" i="1"/>
  <c r="A250" i="1"/>
  <c r="Q249" i="1"/>
  <c r="A249" i="1"/>
  <c r="A248" i="1"/>
  <c r="Q247" i="1"/>
  <c r="P247" i="1"/>
  <c r="O247" i="1"/>
  <c r="M247" i="1"/>
  <c r="L247" i="1"/>
  <c r="K247" i="1"/>
  <c r="J247" i="1"/>
  <c r="G247" i="1"/>
  <c r="A247" i="1"/>
  <c r="Q246" i="1"/>
  <c r="P246" i="1"/>
  <c r="O246" i="1"/>
  <c r="N246" i="1"/>
  <c r="M246" i="1"/>
  <c r="L246" i="1"/>
  <c r="K246" i="1"/>
  <c r="J246" i="1"/>
  <c r="G246" i="1"/>
  <c r="A246" i="1"/>
  <c r="Q245" i="1"/>
  <c r="P245" i="1"/>
  <c r="O245" i="1"/>
  <c r="M245" i="1"/>
  <c r="L245" i="1"/>
  <c r="K245" i="1"/>
  <c r="J245" i="1"/>
  <c r="G245" i="1"/>
  <c r="A245" i="1"/>
  <c r="Q244" i="1"/>
  <c r="P244" i="1"/>
  <c r="O244" i="1"/>
  <c r="M244" i="1"/>
  <c r="L244" i="1"/>
  <c r="K244" i="1"/>
  <c r="J244" i="1"/>
  <c r="G244" i="1"/>
  <c r="A244" i="1"/>
  <c r="Q243" i="1"/>
  <c r="P243" i="1"/>
  <c r="O243" i="1"/>
  <c r="M243" i="1"/>
  <c r="L243" i="1"/>
  <c r="K243" i="1"/>
  <c r="J243" i="1"/>
  <c r="G243" i="1"/>
  <c r="A243" i="1"/>
  <c r="A242" i="1"/>
  <c r="Q240" i="1"/>
  <c r="P240" i="1"/>
  <c r="O240" i="1"/>
  <c r="M240" i="1"/>
  <c r="L240" i="1"/>
  <c r="K240" i="1"/>
  <c r="J240" i="1"/>
  <c r="G240" i="1"/>
  <c r="E240" i="1"/>
  <c r="A240" i="1"/>
  <c r="A239" i="1"/>
  <c r="Q237" i="1"/>
  <c r="P237" i="1"/>
  <c r="O237" i="1"/>
  <c r="M237" i="1"/>
  <c r="L237" i="1"/>
  <c r="K237" i="1"/>
  <c r="J237" i="1"/>
  <c r="G237" i="1"/>
  <c r="E237" i="1"/>
  <c r="A237" i="1"/>
  <c r="Q236" i="1"/>
  <c r="P236" i="1"/>
  <c r="O236" i="1"/>
  <c r="M236" i="1"/>
  <c r="L236" i="1"/>
  <c r="K236" i="1"/>
  <c r="J236" i="1"/>
  <c r="G236" i="1"/>
  <c r="E236" i="1"/>
  <c r="A236" i="1"/>
  <c r="Q235" i="1"/>
  <c r="P235" i="1"/>
  <c r="O235" i="1"/>
  <c r="M235" i="1"/>
  <c r="L235" i="1"/>
  <c r="K235" i="1"/>
  <c r="J235" i="1"/>
  <c r="G235" i="1"/>
  <c r="A235" i="1"/>
  <c r="A234" i="1"/>
  <c r="Q232" i="1"/>
  <c r="P232" i="1"/>
  <c r="O232" i="1"/>
  <c r="M232" i="1"/>
  <c r="L232" i="1"/>
  <c r="K232" i="1"/>
  <c r="J232" i="1"/>
  <c r="G232" i="1"/>
  <c r="A232" i="1"/>
  <c r="A231" i="1"/>
  <c r="Q229" i="1"/>
  <c r="P229" i="1"/>
  <c r="O229" i="1"/>
  <c r="M229" i="1"/>
  <c r="L229" i="1"/>
  <c r="K229" i="1"/>
  <c r="J229" i="1"/>
  <c r="G229" i="1"/>
  <c r="A229" i="1"/>
  <c r="Q228" i="1"/>
  <c r="P228" i="1"/>
  <c r="O228" i="1"/>
  <c r="M228" i="1"/>
  <c r="L228" i="1"/>
  <c r="K228" i="1"/>
  <c r="J228" i="1"/>
  <c r="G228" i="1"/>
  <c r="A228" i="1"/>
  <c r="Q227" i="1"/>
  <c r="P227" i="1"/>
  <c r="O227" i="1"/>
  <c r="M227" i="1"/>
  <c r="L227" i="1"/>
  <c r="K227" i="1"/>
  <c r="J227" i="1"/>
  <c r="G227" i="1"/>
  <c r="E227" i="1"/>
  <c r="A227" i="1"/>
  <c r="A226" i="1"/>
  <c r="Q224" i="1"/>
  <c r="P224" i="1"/>
  <c r="O224" i="1"/>
  <c r="M224" i="1"/>
  <c r="L224" i="1"/>
  <c r="K224" i="1"/>
  <c r="J224" i="1"/>
  <c r="G224" i="1"/>
  <c r="A224" i="1"/>
  <c r="Q223" i="1"/>
  <c r="P223" i="1"/>
  <c r="O223" i="1"/>
  <c r="M223" i="1"/>
  <c r="L223" i="1"/>
  <c r="K223" i="1"/>
  <c r="J223" i="1"/>
  <c r="I223" i="1"/>
  <c r="G223" i="1"/>
  <c r="A223" i="1"/>
  <c r="Q222" i="1"/>
  <c r="P222" i="1"/>
  <c r="O222" i="1"/>
  <c r="M222" i="1"/>
  <c r="L222" i="1"/>
  <c r="K222" i="1"/>
  <c r="J222" i="1"/>
  <c r="G222" i="1"/>
  <c r="E222" i="1"/>
  <c r="A222" i="1"/>
  <c r="A221" i="1"/>
  <c r="Q219" i="1"/>
  <c r="P219" i="1"/>
  <c r="O219" i="1"/>
  <c r="M219" i="1"/>
  <c r="L219" i="1"/>
  <c r="K219" i="1"/>
  <c r="J219" i="1"/>
  <c r="G219" i="1"/>
  <c r="A219" i="1"/>
  <c r="A218" i="1"/>
  <c r="Q216" i="1"/>
  <c r="P216" i="1"/>
  <c r="O216" i="1"/>
  <c r="M216" i="1"/>
  <c r="L216" i="1"/>
  <c r="K216" i="1"/>
  <c r="J216" i="1"/>
  <c r="G216" i="1"/>
  <c r="E216" i="1"/>
  <c r="A216" i="1"/>
  <c r="Q215" i="1"/>
  <c r="P215" i="1"/>
  <c r="O215" i="1"/>
  <c r="M215" i="1"/>
  <c r="L215" i="1"/>
  <c r="K215" i="1"/>
  <c r="J215" i="1"/>
  <c r="G215" i="1"/>
  <c r="A215" i="1"/>
  <c r="Q214" i="1"/>
  <c r="P214" i="1"/>
  <c r="O214" i="1"/>
  <c r="M214" i="1"/>
  <c r="L214" i="1"/>
  <c r="K214" i="1"/>
  <c r="J214" i="1"/>
  <c r="G214" i="1"/>
  <c r="A214" i="1"/>
  <c r="Q213" i="1"/>
  <c r="P213" i="1"/>
  <c r="O213" i="1"/>
  <c r="M213" i="1"/>
  <c r="L213" i="1"/>
  <c r="K213" i="1"/>
  <c r="J213" i="1"/>
  <c r="G213" i="1"/>
  <c r="A213" i="1"/>
  <c r="Q212" i="1"/>
  <c r="P212" i="1"/>
  <c r="O212" i="1"/>
  <c r="M212" i="1"/>
  <c r="L212" i="1"/>
  <c r="K212" i="1"/>
  <c r="J212" i="1"/>
  <c r="G212" i="1"/>
  <c r="A212" i="1"/>
  <c r="Q211" i="1"/>
  <c r="P211" i="1"/>
  <c r="O211" i="1"/>
  <c r="M211" i="1"/>
  <c r="L211" i="1"/>
  <c r="K211" i="1"/>
  <c r="J211" i="1"/>
  <c r="G211" i="1"/>
  <c r="A211" i="1"/>
  <c r="A210" i="1"/>
  <c r="Q208" i="1"/>
  <c r="P208" i="1"/>
  <c r="O208" i="1"/>
  <c r="M208" i="1"/>
  <c r="L208" i="1"/>
  <c r="K208" i="1"/>
  <c r="J208" i="1"/>
  <c r="G208" i="1"/>
  <c r="E208" i="1"/>
  <c r="A208" i="1"/>
  <c r="Q207" i="1"/>
  <c r="P207" i="1"/>
  <c r="O207" i="1"/>
  <c r="M207" i="1"/>
  <c r="L207" i="1"/>
  <c r="K207" i="1"/>
  <c r="J207" i="1"/>
  <c r="G207" i="1"/>
  <c r="A207" i="1"/>
  <c r="Q206" i="1"/>
  <c r="P206" i="1"/>
  <c r="O206" i="1"/>
  <c r="M206" i="1"/>
  <c r="L206" i="1"/>
  <c r="K206" i="1"/>
  <c r="J206" i="1"/>
  <c r="G206" i="1"/>
  <c r="A206" i="1"/>
  <c r="Q205" i="1"/>
  <c r="P205" i="1"/>
  <c r="O205" i="1"/>
  <c r="M205" i="1"/>
  <c r="L205" i="1"/>
  <c r="K205" i="1"/>
  <c r="J205" i="1"/>
  <c r="G205" i="1"/>
  <c r="A205" i="1"/>
  <c r="Q204" i="1"/>
  <c r="P204" i="1"/>
  <c r="O204" i="1"/>
  <c r="M204" i="1"/>
  <c r="L204" i="1"/>
  <c r="K204" i="1"/>
  <c r="J204" i="1"/>
  <c r="G204" i="1"/>
  <c r="A204" i="1"/>
  <c r="A203" i="1"/>
  <c r="A202" i="1"/>
  <c r="Q200" i="1"/>
  <c r="P200" i="1"/>
  <c r="O200" i="1"/>
  <c r="M200" i="1"/>
  <c r="L200" i="1"/>
  <c r="K200" i="1"/>
  <c r="J200" i="1"/>
  <c r="G200" i="1"/>
  <c r="A200" i="1"/>
  <c r="Q199" i="1"/>
  <c r="P199" i="1"/>
  <c r="O199" i="1"/>
  <c r="M199" i="1"/>
  <c r="L199" i="1"/>
  <c r="K199" i="1"/>
  <c r="J199" i="1"/>
  <c r="G199" i="1"/>
  <c r="A199" i="1"/>
  <c r="Q198" i="1"/>
  <c r="P198" i="1"/>
  <c r="O198" i="1"/>
  <c r="M198" i="1"/>
  <c r="L198" i="1"/>
  <c r="K198" i="1"/>
  <c r="J198" i="1"/>
  <c r="G198" i="1"/>
  <c r="A198" i="1"/>
  <c r="Q197" i="1"/>
  <c r="P197" i="1"/>
  <c r="O197" i="1"/>
  <c r="N197" i="1"/>
  <c r="M197" i="1"/>
  <c r="L197" i="1"/>
  <c r="K197" i="1"/>
  <c r="J197" i="1"/>
  <c r="G197" i="1"/>
  <c r="A197" i="1"/>
  <c r="Q196" i="1"/>
  <c r="P196" i="1"/>
  <c r="O196" i="1"/>
  <c r="M196" i="1"/>
  <c r="L196" i="1"/>
  <c r="K196" i="1"/>
  <c r="J196" i="1"/>
  <c r="G196" i="1"/>
  <c r="A196" i="1"/>
  <c r="Q195" i="1"/>
  <c r="P195" i="1"/>
  <c r="O195" i="1"/>
  <c r="M195" i="1"/>
  <c r="L195" i="1"/>
  <c r="K195" i="1"/>
  <c r="J195" i="1"/>
  <c r="G195" i="1"/>
  <c r="A195" i="1"/>
  <c r="Q194" i="1"/>
  <c r="P194" i="1"/>
  <c r="O194" i="1"/>
  <c r="M194" i="1"/>
  <c r="L194" i="1"/>
  <c r="K194" i="1"/>
  <c r="J194" i="1"/>
  <c r="G194" i="1"/>
  <c r="A194" i="1"/>
  <c r="Q193" i="1"/>
  <c r="P193" i="1"/>
  <c r="O193" i="1"/>
  <c r="M193" i="1"/>
  <c r="L193" i="1"/>
  <c r="K193" i="1"/>
  <c r="J193" i="1"/>
  <c r="G193" i="1"/>
  <c r="A193" i="1"/>
  <c r="Q192" i="1"/>
  <c r="P192" i="1"/>
  <c r="O192" i="1"/>
  <c r="M192" i="1"/>
  <c r="L192" i="1"/>
  <c r="K192" i="1"/>
  <c r="J192" i="1"/>
  <c r="G192" i="1"/>
  <c r="A192" i="1"/>
  <c r="Q191" i="1"/>
  <c r="P191" i="1"/>
  <c r="O191" i="1"/>
  <c r="M191" i="1"/>
  <c r="L191" i="1"/>
  <c r="K191" i="1"/>
  <c r="J191" i="1"/>
  <c r="G191" i="1"/>
  <c r="A191" i="1"/>
  <c r="Q190" i="1"/>
  <c r="P190" i="1"/>
  <c r="O190" i="1"/>
  <c r="M190" i="1"/>
  <c r="L190" i="1"/>
  <c r="K190" i="1"/>
  <c r="J190" i="1"/>
  <c r="G190" i="1"/>
  <c r="A190" i="1"/>
  <c r="Q189" i="1"/>
  <c r="P189" i="1"/>
  <c r="O189" i="1"/>
  <c r="M189" i="1"/>
  <c r="L189" i="1"/>
  <c r="K189" i="1"/>
  <c r="J189" i="1"/>
  <c r="G189" i="1"/>
  <c r="A189" i="1"/>
  <c r="Q188" i="1"/>
  <c r="P188" i="1"/>
  <c r="O188" i="1"/>
  <c r="M188" i="1"/>
  <c r="L188" i="1"/>
  <c r="K188" i="1"/>
  <c r="J188" i="1"/>
  <c r="G188" i="1"/>
  <c r="A188" i="1"/>
  <c r="Q187" i="1"/>
  <c r="P187" i="1"/>
  <c r="O187" i="1"/>
  <c r="N187" i="1"/>
  <c r="M187" i="1"/>
  <c r="L187" i="1"/>
  <c r="K187" i="1"/>
  <c r="J187" i="1"/>
  <c r="G187" i="1"/>
  <c r="A187" i="1"/>
  <c r="Q186" i="1"/>
  <c r="P186" i="1"/>
  <c r="O186" i="1"/>
  <c r="M186" i="1"/>
  <c r="L186" i="1"/>
  <c r="K186" i="1"/>
  <c r="J186" i="1"/>
  <c r="G186" i="1"/>
  <c r="A186" i="1"/>
  <c r="Q185" i="1"/>
  <c r="P185" i="1"/>
  <c r="O185" i="1"/>
  <c r="M185" i="1"/>
  <c r="L185" i="1"/>
  <c r="K185" i="1"/>
  <c r="J185" i="1"/>
  <c r="G185" i="1"/>
  <c r="A185" i="1"/>
  <c r="A184" i="1"/>
  <c r="Q182" i="1"/>
  <c r="P182" i="1"/>
  <c r="O182" i="1"/>
  <c r="M182" i="1"/>
  <c r="L182" i="1"/>
  <c r="K182" i="1"/>
  <c r="J182" i="1"/>
  <c r="G182" i="1"/>
  <c r="A182" i="1"/>
  <c r="Q181" i="1"/>
  <c r="P181" i="1"/>
  <c r="O181" i="1"/>
  <c r="M181" i="1"/>
  <c r="L181" i="1"/>
  <c r="K181" i="1"/>
  <c r="J181" i="1"/>
  <c r="G181" i="1"/>
  <c r="A181" i="1"/>
  <c r="K180" i="1"/>
  <c r="A180" i="1"/>
  <c r="Q178" i="1"/>
  <c r="P178" i="1"/>
  <c r="O178" i="1"/>
  <c r="M178" i="1"/>
  <c r="L178" i="1"/>
  <c r="K178" i="1"/>
  <c r="J178" i="1"/>
  <c r="G178" i="1"/>
  <c r="A178" i="1"/>
  <c r="Q177" i="1"/>
  <c r="P177" i="1"/>
  <c r="O177" i="1"/>
  <c r="M177" i="1"/>
  <c r="L177" i="1"/>
  <c r="K177" i="1"/>
  <c r="J177" i="1"/>
  <c r="G177" i="1"/>
  <c r="E177" i="1"/>
  <c r="A177" i="1"/>
  <c r="A176" i="1"/>
  <c r="Q174" i="1"/>
  <c r="P174" i="1"/>
  <c r="O174" i="1"/>
  <c r="M174" i="1"/>
  <c r="L174" i="1"/>
  <c r="K174" i="1"/>
  <c r="J174" i="1"/>
  <c r="G174" i="1"/>
  <c r="A174" i="1"/>
  <c r="Q173" i="1"/>
  <c r="P173" i="1"/>
  <c r="O173" i="1"/>
  <c r="M173" i="1"/>
  <c r="L173" i="1"/>
  <c r="K173" i="1"/>
  <c r="J173" i="1"/>
  <c r="G173" i="1"/>
  <c r="A173" i="1"/>
  <c r="Q172" i="1"/>
  <c r="P172" i="1"/>
  <c r="O172" i="1"/>
  <c r="M172" i="1"/>
  <c r="L172" i="1"/>
  <c r="K172" i="1"/>
  <c r="J172" i="1"/>
  <c r="G172" i="1"/>
  <c r="A172" i="1"/>
  <c r="Q171" i="1"/>
  <c r="P171" i="1"/>
  <c r="O171" i="1"/>
  <c r="M171" i="1"/>
  <c r="L171" i="1"/>
  <c r="K171" i="1"/>
  <c r="J171" i="1"/>
  <c r="G171" i="1"/>
  <c r="A171" i="1"/>
  <c r="Q170" i="1"/>
  <c r="P170" i="1"/>
  <c r="O170" i="1"/>
  <c r="M170" i="1"/>
  <c r="L170" i="1"/>
  <c r="K170" i="1"/>
  <c r="J170" i="1"/>
  <c r="G170" i="1"/>
  <c r="A170" i="1"/>
  <c r="Q169" i="1"/>
  <c r="P169" i="1"/>
  <c r="O169" i="1"/>
  <c r="M169" i="1"/>
  <c r="L169" i="1"/>
  <c r="K169" i="1"/>
  <c r="J169" i="1"/>
  <c r="G169" i="1"/>
  <c r="A169" i="1"/>
  <c r="Q168" i="1"/>
  <c r="P168" i="1"/>
  <c r="O168" i="1"/>
  <c r="M168" i="1"/>
  <c r="L168" i="1"/>
  <c r="K168" i="1"/>
  <c r="J168" i="1"/>
  <c r="G168" i="1"/>
  <c r="A168" i="1"/>
  <c r="Q167" i="1"/>
  <c r="P167" i="1"/>
  <c r="O167" i="1"/>
  <c r="M167" i="1"/>
  <c r="L167" i="1"/>
  <c r="K167" i="1"/>
  <c r="J167" i="1"/>
  <c r="G167" i="1"/>
  <c r="A167" i="1"/>
  <c r="A166" i="1"/>
  <c r="A165" i="1"/>
  <c r="Q164" i="1"/>
  <c r="P164" i="1"/>
  <c r="O164" i="1"/>
  <c r="M164" i="1"/>
  <c r="L164" i="1"/>
  <c r="K164" i="1"/>
  <c r="J164" i="1"/>
  <c r="G164" i="1"/>
  <c r="A164" i="1"/>
  <c r="Q163" i="1"/>
  <c r="P163" i="1"/>
  <c r="O163" i="1"/>
  <c r="M163" i="1"/>
  <c r="L163" i="1"/>
  <c r="K163" i="1"/>
  <c r="J163" i="1"/>
  <c r="G163" i="1"/>
  <c r="A163" i="1"/>
  <c r="Q162" i="1"/>
  <c r="P162" i="1"/>
  <c r="O162" i="1"/>
  <c r="M162" i="1"/>
  <c r="L162" i="1"/>
  <c r="K162" i="1"/>
  <c r="J162" i="1"/>
  <c r="G162" i="1"/>
  <c r="E162" i="1"/>
  <c r="A162" i="1"/>
  <c r="Q161" i="1"/>
  <c r="P161" i="1"/>
  <c r="O161" i="1"/>
  <c r="M161" i="1"/>
  <c r="L161" i="1"/>
  <c r="K161" i="1"/>
  <c r="J161" i="1"/>
  <c r="G161" i="1"/>
  <c r="A161" i="1"/>
  <c r="A160" i="1"/>
  <c r="Q158" i="1"/>
  <c r="P158" i="1"/>
  <c r="O158" i="1"/>
  <c r="M158" i="1"/>
  <c r="L158" i="1"/>
  <c r="K158" i="1"/>
  <c r="J158" i="1"/>
  <c r="G158" i="1"/>
  <c r="E158" i="1"/>
  <c r="A158" i="1"/>
  <c r="Q157" i="1"/>
  <c r="P157" i="1"/>
  <c r="O157" i="1"/>
  <c r="M157" i="1"/>
  <c r="L157" i="1"/>
  <c r="K157" i="1"/>
  <c r="J157" i="1"/>
  <c r="G157" i="1"/>
  <c r="A157" i="1"/>
  <c r="Q156" i="1"/>
  <c r="P156" i="1"/>
  <c r="O156" i="1"/>
  <c r="M156" i="1"/>
  <c r="L156" i="1"/>
  <c r="K156" i="1"/>
  <c r="J156" i="1"/>
  <c r="G156" i="1"/>
  <c r="A156" i="1"/>
  <c r="A155" i="1"/>
  <c r="Q153" i="1"/>
  <c r="P153" i="1"/>
  <c r="O153" i="1"/>
  <c r="M153" i="1"/>
  <c r="L153" i="1"/>
  <c r="K153" i="1"/>
  <c r="J153" i="1"/>
  <c r="G153" i="1"/>
  <c r="E153" i="1"/>
  <c r="A153" i="1"/>
  <c r="Q152" i="1"/>
  <c r="P152" i="1"/>
  <c r="O152" i="1"/>
  <c r="M152" i="1"/>
  <c r="L152" i="1"/>
  <c r="K152" i="1"/>
  <c r="J152" i="1"/>
  <c r="G152" i="1"/>
  <c r="A152" i="1"/>
  <c r="Q151" i="1"/>
  <c r="P151" i="1"/>
  <c r="O151" i="1"/>
  <c r="M151" i="1"/>
  <c r="L151" i="1"/>
  <c r="K151" i="1"/>
  <c r="J151" i="1"/>
  <c r="G151" i="1"/>
  <c r="E151" i="1"/>
  <c r="A151" i="1"/>
  <c r="A150" i="1"/>
  <c r="Q148" i="1"/>
  <c r="P148" i="1"/>
  <c r="O148" i="1"/>
  <c r="N148" i="1"/>
  <c r="M148" i="1"/>
  <c r="L148" i="1"/>
  <c r="K148" i="1"/>
  <c r="J148" i="1"/>
  <c r="I148" i="1"/>
  <c r="G148" i="1"/>
  <c r="A148" i="1"/>
  <c r="A147" i="1"/>
  <c r="Q145" i="1"/>
  <c r="P145" i="1"/>
  <c r="O145" i="1"/>
  <c r="M145" i="1"/>
  <c r="L145" i="1"/>
  <c r="K145" i="1"/>
  <c r="J145" i="1"/>
  <c r="G145" i="1"/>
  <c r="A145" i="1"/>
  <c r="A144" i="1"/>
  <c r="Q142" i="1"/>
  <c r="P142" i="1"/>
  <c r="O142" i="1"/>
  <c r="M142" i="1"/>
  <c r="L142" i="1"/>
  <c r="K142" i="1"/>
  <c r="J142" i="1"/>
  <c r="G142" i="1"/>
  <c r="A142" i="1"/>
  <c r="Q141" i="1"/>
  <c r="P141" i="1"/>
  <c r="O141" i="1"/>
  <c r="M141" i="1"/>
  <c r="L141" i="1"/>
  <c r="K141" i="1"/>
  <c r="J141" i="1"/>
  <c r="G141" i="1"/>
  <c r="E141" i="1"/>
  <c r="A141" i="1"/>
  <c r="Q140" i="1"/>
  <c r="P140" i="1"/>
  <c r="O140" i="1"/>
  <c r="M140" i="1"/>
  <c r="L140" i="1"/>
  <c r="K140" i="1"/>
  <c r="J140" i="1"/>
  <c r="G140" i="1"/>
  <c r="E140" i="1"/>
  <c r="A140" i="1"/>
  <c r="Q139" i="1"/>
  <c r="P139" i="1"/>
  <c r="O139" i="1"/>
  <c r="M139" i="1"/>
  <c r="L139" i="1"/>
  <c r="K139" i="1"/>
  <c r="J139" i="1"/>
  <c r="G139" i="1"/>
  <c r="E139" i="1"/>
  <c r="A139" i="1"/>
  <c r="A138" i="1"/>
  <c r="Q136" i="1"/>
  <c r="P136" i="1"/>
  <c r="O136" i="1"/>
  <c r="M136" i="1"/>
  <c r="L136" i="1"/>
  <c r="K136" i="1"/>
  <c r="J136" i="1"/>
  <c r="G136" i="1"/>
  <c r="E136" i="1"/>
  <c r="A136" i="1"/>
  <c r="Q135" i="1"/>
  <c r="P135" i="1"/>
  <c r="O135" i="1"/>
  <c r="M135" i="1"/>
  <c r="L135" i="1"/>
  <c r="K135" i="1"/>
  <c r="J135" i="1"/>
  <c r="G135" i="1"/>
  <c r="E135" i="1"/>
  <c r="A135" i="1"/>
  <c r="Q134" i="1"/>
  <c r="P134" i="1"/>
  <c r="O134" i="1"/>
  <c r="M134" i="1"/>
  <c r="L134" i="1"/>
  <c r="K134" i="1"/>
  <c r="J134" i="1"/>
  <c r="G134" i="1"/>
  <c r="E134" i="1"/>
  <c r="A134" i="1"/>
  <c r="Q133" i="1"/>
  <c r="P133" i="1"/>
  <c r="O133" i="1"/>
  <c r="M133" i="1"/>
  <c r="L133" i="1"/>
  <c r="K133" i="1"/>
  <c r="J133" i="1"/>
  <c r="G133" i="1"/>
  <c r="E133" i="1"/>
  <c r="A133" i="1"/>
  <c r="A132" i="1"/>
  <c r="Q130" i="1"/>
  <c r="P130" i="1"/>
  <c r="O130" i="1"/>
  <c r="M130" i="1"/>
  <c r="L130" i="1"/>
  <c r="K130" i="1"/>
  <c r="J130" i="1"/>
  <c r="G130" i="1"/>
  <c r="A130" i="1"/>
  <c r="Q129" i="1"/>
  <c r="P129" i="1"/>
  <c r="O129" i="1"/>
  <c r="M129" i="1"/>
  <c r="L129" i="1"/>
  <c r="K129" i="1"/>
  <c r="J129" i="1"/>
  <c r="G129" i="1"/>
  <c r="A129" i="1"/>
  <c r="Q128" i="1"/>
  <c r="P128" i="1"/>
  <c r="O128" i="1"/>
  <c r="M128" i="1"/>
  <c r="L128" i="1"/>
  <c r="K128" i="1"/>
  <c r="J128" i="1"/>
  <c r="G128" i="1"/>
  <c r="A128" i="1"/>
  <c r="A127" i="1"/>
  <c r="Q125" i="1"/>
  <c r="P125" i="1"/>
  <c r="O125" i="1"/>
  <c r="M125" i="1"/>
  <c r="L125" i="1"/>
  <c r="K125" i="1"/>
  <c r="J125" i="1"/>
  <c r="G125" i="1"/>
  <c r="E125" i="1"/>
  <c r="A125" i="1"/>
  <c r="Q124" i="1"/>
  <c r="P124" i="1"/>
  <c r="O124" i="1"/>
  <c r="M124" i="1"/>
  <c r="L124" i="1"/>
  <c r="K124" i="1"/>
  <c r="J124" i="1"/>
  <c r="G124" i="1"/>
  <c r="E124" i="1"/>
  <c r="A124" i="1"/>
  <c r="A123" i="1"/>
  <c r="Q121" i="1"/>
  <c r="P121" i="1"/>
  <c r="O121" i="1"/>
  <c r="M121" i="1"/>
  <c r="L121" i="1"/>
  <c r="K121" i="1"/>
  <c r="J121" i="1"/>
  <c r="G121" i="1"/>
  <c r="E121" i="1"/>
  <c r="A121" i="1"/>
  <c r="Q120" i="1"/>
  <c r="P120" i="1"/>
  <c r="O120" i="1"/>
  <c r="M120" i="1"/>
  <c r="L120" i="1"/>
  <c r="K120" i="1"/>
  <c r="J120" i="1"/>
  <c r="G120" i="1"/>
  <c r="A120" i="1"/>
  <c r="Q119" i="1"/>
  <c r="P119" i="1"/>
  <c r="O119" i="1"/>
  <c r="M119" i="1"/>
  <c r="L119" i="1"/>
  <c r="K119" i="1"/>
  <c r="J119" i="1"/>
  <c r="G119" i="1"/>
  <c r="E119" i="1"/>
  <c r="A119" i="1"/>
  <c r="Q118" i="1"/>
  <c r="P118" i="1"/>
  <c r="O118" i="1"/>
  <c r="M118" i="1"/>
  <c r="L118" i="1"/>
  <c r="K118" i="1"/>
  <c r="J118" i="1"/>
  <c r="G118" i="1"/>
  <c r="A118" i="1"/>
  <c r="Q117" i="1"/>
  <c r="P117" i="1"/>
  <c r="O117" i="1"/>
  <c r="M117" i="1"/>
  <c r="L117" i="1"/>
  <c r="K117" i="1"/>
  <c r="J117" i="1"/>
  <c r="G117" i="1"/>
  <c r="E117" i="1"/>
  <c r="A117" i="1"/>
  <c r="A116" i="1"/>
  <c r="Q114" i="1"/>
  <c r="P114" i="1"/>
  <c r="O114" i="1"/>
  <c r="M114" i="1"/>
  <c r="L114" i="1"/>
  <c r="K114" i="1"/>
  <c r="J114" i="1"/>
  <c r="G114" i="1"/>
  <c r="A114" i="1"/>
  <c r="A113" i="1"/>
  <c r="Q111" i="1"/>
  <c r="P111" i="1"/>
  <c r="O111" i="1"/>
  <c r="M111" i="1"/>
  <c r="L111" i="1"/>
  <c r="K111" i="1"/>
  <c r="J111" i="1"/>
  <c r="G111" i="1"/>
  <c r="E111" i="1"/>
  <c r="A111" i="1"/>
  <c r="Q110" i="1"/>
  <c r="P110" i="1"/>
  <c r="O110" i="1"/>
  <c r="M110" i="1"/>
  <c r="L110" i="1"/>
  <c r="K110" i="1"/>
  <c r="J110" i="1"/>
  <c r="G110" i="1"/>
  <c r="E110" i="1"/>
  <c r="A110" i="1"/>
  <c r="Q109" i="1"/>
  <c r="P109" i="1"/>
  <c r="O109" i="1"/>
  <c r="M109" i="1"/>
  <c r="L109" i="1"/>
  <c r="K109" i="1"/>
  <c r="J109" i="1"/>
  <c r="G109" i="1"/>
  <c r="E109" i="1"/>
  <c r="A109" i="1"/>
  <c r="Q108" i="1"/>
  <c r="P108" i="1"/>
  <c r="O108" i="1"/>
  <c r="M108" i="1"/>
  <c r="L108" i="1"/>
  <c r="K108" i="1"/>
  <c r="J108" i="1"/>
  <c r="G108" i="1"/>
  <c r="E108" i="1"/>
  <c r="A108" i="1"/>
  <c r="A107" i="1"/>
  <c r="Q105" i="1"/>
  <c r="P105" i="1"/>
  <c r="O105" i="1"/>
  <c r="M105" i="1"/>
  <c r="L105" i="1"/>
  <c r="K105" i="1"/>
  <c r="J105" i="1"/>
  <c r="G105" i="1"/>
  <c r="A105" i="1"/>
  <c r="Q104" i="1"/>
  <c r="P104" i="1"/>
  <c r="O104" i="1"/>
  <c r="M104" i="1"/>
  <c r="L104" i="1"/>
  <c r="K104" i="1"/>
  <c r="J104" i="1"/>
  <c r="G104" i="1"/>
  <c r="A104" i="1"/>
  <c r="Q103" i="1"/>
  <c r="P103" i="1"/>
  <c r="O103" i="1"/>
  <c r="M103" i="1"/>
  <c r="L103" i="1"/>
  <c r="K103" i="1"/>
  <c r="J103" i="1"/>
  <c r="G103" i="1"/>
  <c r="A103" i="1"/>
  <c r="Q102" i="1"/>
  <c r="P102" i="1"/>
  <c r="O102" i="1"/>
  <c r="M102" i="1"/>
  <c r="L102" i="1"/>
  <c r="K102" i="1"/>
  <c r="J102" i="1"/>
  <c r="G102" i="1"/>
  <c r="A102" i="1"/>
  <c r="Q101" i="1"/>
  <c r="P101" i="1"/>
  <c r="O101" i="1"/>
  <c r="M101" i="1"/>
  <c r="L101" i="1"/>
  <c r="K101" i="1"/>
  <c r="J101" i="1"/>
  <c r="G101" i="1"/>
  <c r="A101" i="1"/>
  <c r="Q100" i="1"/>
  <c r="P100" i="1"/>
  <c r="O100" i="1"/>
  <c r="M100" i="1"/>
  <c r="L100" i="1"/>
  <c r="K100" i="1"/>
  <c r="J100" i="1"/>
  <c r="G100" i="1"/>
  <c r="A100" i="1"/>
  <c r="A99" i="1"/>
  <c r="Q97" i="1"/>
  <c r="P97" i="1"/>
  <c r="O97" i="1"/>
  <c r="M97" i="1"/>
  <c r="L97" i="1"/>
  <c r="K97" i="1"/>
  <c r="J97" i="1"/>
  <c r="G97" i="1"/>
  <c r="A97" i="1"/>
  <c r="Q96" i="1"/>
  <c r="P96" i="1"/>
  <c r="O96" i="1"/>
  <c r="M96" i="1"/>
  <c r="L96" i="1"/>
  <c r="K96" i="1"/>
  <c r="J96" i="1"/>
  <c r="G96" i="1"/>
  <c r="E96" i="1"/>
  <c r="A96" i="1"/>
  <c r="Q95" i="1"/>
  <c r="P95" i="1"/>
  <c r="O95" i="1"/>
  <c r="M95" i="1"/>
  <c r="L95" i="1"/>
  <c r="K95" i="1"/>
  <c r="J95" i="1"/>
  <c r="G95" i="1"/>
  <c r="A95" i="1"/>
  <c r="Q94" i="1"/>
  <c r="P94" i="1"/>
  <c r="O94" i="1"/>
  <c r="M94" i="1"/>
  <c r="L94" i="1"/>
  <c r="K94" i="1"/>
  <c r="J94" i="1"/>
  <c r="G94" i="1"/>
  <c r="A94" i="1"/>
  <c r="A93" i="1"/>
  <c r="Q91" i="1"/>
  <c r="P91" i="1"/>
  <c r="O91" i="1"/>
  <c r="M91" i="1"/>
  <c r="L91" i="1"/>
  <c r="K91" i="1"/>
  <c r="J91" i="1"/>
  <c r="G91" i="1"/>
  <c r="E91" i="1"/>
  <c r="A91" i="1"/>
  <c r="Q90" i="1"/>
  <c r="P90" i="1"/>
  <c r="O90" i="1"/>
  <c r="M90" i="1"/>
  <c r="L90" i="1"/>
  <c r="K90" i="1"/>
  <c r="J90" i="1"/>
  <c r="G90" i="1"/>
  <c r="E90" i="1"/>
  <c r="A90" i="1"/>
  <c r="Q89" i="1"/>
  <c r="P89" i="1"/>
  <c r="O89" i="1"/>
  <c r="M89" i="1"/>
  <c r="L89" i="1"/>
  <c r="K89" i="1"/>
  <c r="J89" i="1"/>
  <c r="G89" i="1"/>
  <c r="E89" i="1"/>
  <c r="A89" i="1"/>
  <c r="Q87" i="1"/>
  <c r="P87" i="1"/>
  <c r="O87" i="1"/>
  <c r="M87" i="1"/>
  <c r="L87" i="1"/>
  <c r="K87" i="1"/>
  <c r="J87" i="1"/>
  <c r="G87" i="1"/>
  <c r="E87" i="1"/>
  <c r="A87" i="1"/>
  <c r="Q86" i="1"/>
  <c r="P86" i="1"/>
  <c r="O86" i="1"/>
  <c r="M86" i="1"/>
  <c r="L86" i="1"/>
  <c r="K86" i="1"/>
  <c r="J86" i="1"/>
  <c r="G86" i="1"/>
  <c r="E86" i="1"/>
  <c r="A86" i="1"/>
  <c r="Q85" i="1"/>
  <c r="P85" i="1"/>
  <c r="O85" i="1"/>
  <c r="M85" i="1"/>
  <c r="L85" i="1"/>
  <c r="K85" i="1"/>
  <c r="J85" i="1"/>
  <c r="G85" i="1"/>
  <c r="E85" i="1"/>
  <c r="A85" i="1"/>
  <c r="Q83" i="1"/>
  <c r="P83" i="1"/>
  <c r="O83" i="1"/>
  <c r="M83" i="1"/>
  <c r="L83" i="1"/>
  <c r="K83" i="1"/>
  <c r="J83" i="1"/>
  <c r="G83" i="1"/>
  <c r="E83" i="1"/>
  <c r="A83" i="1"/>
  <c r="Q82" i="1"/>
  <c r="P82" i="1"/>
  <c r="O82" i="1"/>
  <c r="M82" i="1"/>
  <c r="L82" i="1"/>
  <c r="K82" i="1"/>
  <c r="J82" i="1"/>
  <c r="G82" i="1"/>
  <c r="E82" i="1"/>
  <c r="A82" i="1"/>
  <c r="Q81" i="1"/>
  <c r="P81" i="1"/>
  <c r="O81" i="1"/>
  <c r="M81" i="1"/>
  <c r="L81" i="1"/>
  <c r="K81" i="1"/>
  <c r="J81" i="1"/>
  <c r="G81" i="1"/>
  <c r="E81" i="1"/>
  <c r="A81" i="1"/>
  <c r="A80" i="1"/>
  <c r="Q78" i="1"/>
  <c r="P78" i="1"/>
  <c r="O78" i="1"/>
  <c r="M78" i="1"/>
  <c r="L78" i="1"/>
  <c r="K78" i="1"/>
  <c r="J78" i="1"/>
  <c r="G78" i="1"/>
  <c r="E78" i="1"/>
  <c r="A78" i="1"/>
  <c r="Q77" i="1"/>
  <c r="P77" i="1"/>
  <c r="O77" i="1"/>
  <c r="M77" i="1"/>
  <c r="L77" i="1"/>
  <c r="K77" i="1"/>
  <c r="J77" i="1"/>
  <c r="G77" i="1"/>
  <c r="A77" i="1"/>
  <c r="Q76" i="1"/>
  <c r="P76" i="1"/>
  <c r="O76" i="1"/>
  <c r="M76" i="1"/>
  <c r="L76" i="1"/>
  <c r="K76" i="1"/>
  <c r="J76" i="1"/>
  <c r="G76" i="1"/>
  <c r="E76" i="1"/>
  <c r="A76" i="1"/>
  <c r="Q75" i="1"/>
  <c r="P75" i="1"/>
  <c r="O75" i="1"/>
  <c r="M75" i="1"/>
  <c r="L75" i="1"/>
  <c r="K75" i="1"/>
  <c r="J75" i="1"/>
  <c r="G75" i="1"/>
  <c r="E75" i="1"/>
  <c r="A75" i="1"/>
  <c r="Q74" i="1"/>
  <c r="P74" i="1"/>
  <c r="O74" i="1"/>
  <c r="M74" i="1"/>
  <c r="L74" i="1"/>
  <c r="K74" i="1"/>
  <c r="J74" i="1"/>
  <c r="G74" i="1"/>
  <c r="E74" i="1"/>
  <c r="A74" i="1"/>
  <c r="Q73" i="1"/>
  <c r="P73" i="1"/>
  <c r="O73" i="1"/>
  <c r="M73" i="1"/>
  <c r="L73" i="1"/>
  <c r="K73" i="1"/>
  <c r="J73" i="1"/>
  <c r="G73" i="1"/>
  <c r="E73" i="1"/>
  <c r="A73" i="1"/>
  <c r="Q71" i="1"/>
  <c r="P71" i="1"/>
  <c r="O71" i="1"/>
  <c r="M71" i="1"/>
  <c r="L71" i="1"/>
  <c r="K71" i="1"/>
  <c r="J71" i="1"/>
  <c r="G71" i="1"/>
  <c r="E71" i="1"/>
  <c r="A71" i="1"/>
  <c r="Q70" i="1"/>
  <c r="P70" i="1"/>
  <c r="O70" i="1"/>
  <c r="M70" i="1"/>
  <c r="L70" i="1"/>
  <c r="K70" i="1"/>
  <c r="J70" i="1"/>
  <c r="G70" i="1"/>
  <c r="A70" i="1"/>
  <c r="Q69" i="1"/>
  <c r="P69" i="1"/>
  <c r="O69" i="1"/>
  <c r="M69" i="1"/>
  <c r="L69" i="1"/>
  <c r="K69" i="1"/>
  <c r="J69" i="1"/>
  <c r="G69" i="1"/>
  <c r="E69" i="1"/>
  <c r="A69" i="1"/>
  <c r="Q68" i="1"/>
  <c r="P68" i="1"/>
  <c r="O68" i="1"/>
  <c r="M68" i="1"/>
  <c r="L68" i="1"/>
  <c r="K68" i="1"/>
  <c r="J68" i="1"/>
  <c r="G68" i="1"/>
  <c r="A68" i="1"/>
  <c r="Q67" i="1"/>
  <c r="P67" i="1"/>
  <c r="O67" i="1"/>
  <c r="M67" i="1"/>
  <c r="L67" i="1"/>
  <c r="K67" i="1"/>
  <c r="J67" i="1"/>
  <c r="G67" i="1"/>
  <c r="E67" i="1"/>
  <c r="A67" i="1"/>
  <c r="A66" i="1"/>
  <c r="Q64" i="1"/>
  <c r="P64" i="1"/>
  <c r="O64" i="1"/>
  <c r="M64" i="1"/>
  <c r="L64" i="1"/>
  <c r="K64" i="1"/>
  <c r="J64" i="1"/>
  <c r="G64" i="1"/>
  <c r="E64" i="1"/>
  <c r="A64" i="1"/>
  <c r="Q63" i="1"/>
  <c r="P63" i="1"/>
  <c r="O63" i="1"/>
  <c r="M63" i="1"/>
  <c r="L63" i="1"/>
  <c r="K63" i="1"/>
  <c r="J63" i="1"/>
  <c r="G63" i="1"/>
  <c r="E63" i="1"/>
  <c r="A63" i="1"/>
  <c r="Q62" i="1"/>
  <c r="P62" i="1"/>
  <c r="O62" i="1"/>
  <c r="M62" i="1"/>
  <c r="L62" i="1"/>
  <c r="K62" i="1"/>
  <c r="J62" i="1"/>
  <c r="G62" i="1"/>
  <c r="E62" i="1"/>
  <c r="A62" i="1"/>
  <c r="Q61" i="1"/>
  <c r="P61" i="1"/>
  <c r="O61" i="1"/>
  <c r="M61" i="1"/>
  <c r="L61" i="1"/>
  <c r="K61" i="1"/>
  <c r="J61" i="1"/>
  <c r="G61" i="1"/>
  <c r="E61" i="1"/>
  <c r="A61" i="1"/>
  <c r="Q60" i="1"/>
  <c r="P60" i="1"/>
  <c r="O60" i="1"/>
  <c r="M60" i="1"/>
  <c r="L60" i="1"/>
  <c r="K60" i="1"/>
  <c r="J60" i="1"/>
  <c r="G60" i="1"/>
  <c r="E60" i="1"/>
  <c r="A60" i="1"/>
  <c r="Q59" i="1"/>
  <c r="P59" i="1"/>
  <c r="O59" i="1"/>
  <c r="M59" i="1"/>
  <c r="L59" i="1"/>
  <c r="K59" i="1"/>
  <c r="J59" i="1"/>
  <c r="G59" i="1"/>
  <c r="A59" i="1"/>
  <c r="Q58" i="1"/>
  <c r="P58" i="1"/>
  <c r="O58" i="1"/>
  <c r="M58" i="1"/>
  <c r="L58" i="1"/>
  <c r="K58" i="1"/>
  <c r="J58" i="1"/>
  <c r="G58" i="1"/>
  <c r="E58" i="1"/>
  <c r="A58" i="1"/>
  <c r="A57" i="1"/>
  <c r="Q55" i="1"/>
  <c r="P55" i="1"/>
  <c r="O55" i="1"/>
  <c r="M55" i="1"/>
  <c r="L55" i="1"/>
  <c r="K55" i="1"/>
  <c r="J55" i="1"/>
  <c r="G55" i="1"/>
  <c r="A55" i="1"/>
  <c r="Q54" i="1"/>
  <c r="P54" i="1"/>
  <c r="O54" i="1"/>
  <c r="M54" i="1"/>
  <c r="L54" i="1"/>
  <c r="K54" i="1"/>
  <c r="J54" i="1"/>
  <c r="G54" i="1"/>
  <c r="E54" i="1"/>
  <c r="A54" i="1"/>
  <c r="Q53" i="1"/>
  <c r="P53" i="1"/>
  <c r="O53" i="1"/>
  <c r="M53" i="1"/>
  <c r="L53" i="1"/>
  <c r="K53" i="1"/>
  <c r="J53" i="1"/>
  <c r="G53" i="1"/>
  <c r="A53" i="1"/>
  <c r="A52" i="1"/>
  <c r="Q50" i="1"/>
  <c r="P50" i="1"/>
  <c r="O50" i="1"/>
  <c r="N50" i="1"/>
  <c r="M50" i="1"/>
  <c r="L50" i="1"/>
  <c r="K50" i="1"/>
  <c r="J50" i="1"/>
  <c r="I50" i="1"/>
  <c r="G50" i="1"/>
  <c r="A50" i="1"/>
  <c r="A49" i="1"/>
  <c r="A48" i="1"/>
  <c r="A47" i="1"/>
  <c r="A46" i="1"/>
  <c r="Q45" i="1"/>
  <c r="A45" i="1"/>
  <c r="A44" i="1"/>
  <c r="Q43" i="1"/>
  <c r="P43" i="1"/>
  <c r="O43" i="1"/>
  <c r="M43" i="1"/>
  <c r="L43" i="1"/>
  <c r="K43" i="1"/>
  <c r="J43" i="1"/>
  <c r="G43" i="1"/>
  <c r="E43" i="1"/>
  <c r="A43" i="1"/>
  <c r="Q42" i="1"/>
  <c r="P42" i="1"/>
  <c r="O42" i="1"/>
  <c r="M42" i="1"/>
  <c r="L42" i="1"/>
  <c r="K42" i="1"/>
  <c r="J42" i="1"/>
  <c r="G42" i="1"/>
  <c r="A42" i="1"/>
  <c r="Q41" i="1"/>
  <c r="P41" i="1"/>
  <c r="O41" i="1"/>
  <c r="M41" i="1"/>
  <c r="L41" i="1"/>
  <c r="K41" i="1"/>
  <c r="J41" i="1"/>
  <c r="G41" i="1"/>
  <c r="A41" i="1"/>
  <c r="A40" i="1"/>
  <c r="A39" i="1"/>
  <c r="A38" i="1"/>
  <c r="Q37" i="1"/>
  <c r="A37" i="1"/>
  <c r="Q36" i="1"/>
  <c r="P36" i="1"/>
  <c r="O36" i="1"/>
  <c r="N36" i="1"/>
  <c r="M36" i="1"/>
  <c r="L36" i="1"/>
  <c r="K36" i="1"/>
  <c r="J36" i="1"/>
  <c r="G36" i="1"/>
  <c r="A36" i="1"/>
  <c r="Q34" i="1"/>
  <c r="P34" i="1"/>
  <c r="O34" i="1"/>
  <c r="M34" i="1"/>
  <c r="L34" i="1"/>
  <c r="K34" i="1"/>
  <c r="J34" i="1"/>
  <c r="G34" i="1"/>
  <c r="A34" i="1"/>
  <c r="Q33" i="1"/>
  <c r="P33" i="1"/>
  <c r="O33" i="1"/>
  <c r="M33" i="1"/>
  <c r="L33" i="1"/>
  <c r="K33" i="1"/>
  <c r="J33" i="1"/>
  <c r="G33" i="1"/>
  <c r="E33" i="1"/>
  <c r="A33" i="1"/>
  <c r="Q32" i="1"/>
  <c r="P32" i="1"/>
  <c r="O32" i="1"/>
  <c r="M32" i="1"/>
  <c r="L32" i="1"/>
  <c r="K32" i="1"/>
  <c r="J32" i="1"/>
  <c r="G32" i="1"/>
  <c r="A32" i="1"/>
  <c r="Q31" i="1"/>
  <c r="P31" i="1"/>
  <c r="O31" i="1"/>
  <c r="M31" i="1"/>
  <c r="L31" i="1"/>
  <c r="K31" i="1"/>
  <c r="J31" i="1"/>
  <c r="G31" i="1"/>
  <c r="A31" i="1"/>
  <c r="Q30" i="1"/>
  <c r="P30" i="1"/>
  <c r="O30" i="1"/>
  <c r="M30" i="1"/>
  <c r="L30" i="1"/>
  <c r="K30" i="1"/>
  <c r="J30" i="1"/>
  <c r="G30" i="1"/>
  <c r="A30" i="1"/>
  <c r="Q29" i="1"/>
  <c r="P29" i="1"/>
  <c r="O29" i="1"/>
  <c r="M29" i="1"/>
  <c r="L29" i="1"/>
  <c r="K29" i="1"/>
  <c r="J29" i="1"/>
  <c r="G29" i="1"/>
  <c r="A29" i="1"/>
  <c r="Q28" i="1"/>
  <c r="P28" i="1"/>
  <c r="O28" i="1"/>
  <c r="M28" i="1"/>
  <c r="L28" i="1"/>
  <c r="K28" i="1"/>
  <c r="J28" i="1"/>
  <c r="G28" i="1"/>
  <c r="A28" i="1"/>
  <c r="Q27" i="1"/>
  <c r="P27" i="1"/>
  <c r="O27" i="1"/>
  <c r="M27" i="1"/>
  <c r="L27" i="1"/>
  <c r="K27" i="1"/>
  <c r="J27" i="1"/>
  <c r="G27" i="1"/>
  <c r="E27" i="1"/>
  <c r="A27" i="1"/>
  <c r="M26" i="1"/>
  <c r="A26" i="1"/>
  <c r="Q24" i="1"/>
  <c r="P24" i="1"/>
  <c r="O24" i="1"/>
  <c r="M24" i="1"/>
  <c r="L24" i="1"/>
  <c r="K24" i="1"/>
  <c r="J24" i="1"/>
  <c r="G24" i="1"/>
  <c r="A24" i="1"/>
  <c r="Q23" i="1"/>
  <c r="P23" i="1"/>
  <c r="O23" i="1"/>
  <c r="M23" i="1"/>
  <c r="L23" i="1"/>
  <c r="K23" i="1"/>
  <c r="J23" i="1"/>
  <c r="G23" i="1"/>
  <c r="A23" i="1"/>
  <c r="Q22" i="1"/>
  <c r="P22" i="1"/>
  <c r="O22" i="1"/>
  <c r="M22" i="1"/>
  <c r="L22" i="1"/>
  <c r="K22" i="1"/>
  <c r="J22" i="1"/>
  <c r="G22" i="1"/>
  <c r="A22" i="1"/>
  <c r="Q21" i="1"/>
  <c r="P21" i="1"/>
  <c r="O21" i="1"/>
  <c r="M21" i="1"/>
  <c r="L21" i="1"/>
  <c r="K21" i="1"/>
  <c r="J21" i="1"/>
  <c r="G21" i="1"/>
  <c r="A21" i="1"/>
  <c r="Q20" i="1"/>
  <c r="P20" i="1"/>
  <c r="O20" i="1"/>
  <c r="M20" i="1"/>
  <c r="L20" i="1"/>
  <c r="K20" i="1"/>
  <c r="J20" i="1"/>
  <c r="G20" i="1"/>
  <c r="A20" i="1"/>
  <c r="Q19" i="1"/>
  <c r="P19" i="1"/>
  <c r="O19" i="1"/>
  <c r="M19" i="1"/>
  <c r="L19" i="1"/>
  <c r="K19" i="1"/>
  <c r="J19" i="1"/>
  <c r="G19" i="1"/>
  <c r="A19" i="1"/>
  <c r="A18" i="1"/>
  <c r="A17" i="1"/>
  <c r="A16" i="1"/>
  <c r="Q15" i="1"/>
  <c r="A15" i="1"/>
  <c r="P14" i="1"/>
  <c r="O14" i="1"/>
  <c r="M14" i="1"/>
  <c r="L14" i="1"/>
  <c r="J14" i="1"/>
  <c r="G14" i="1"/>
  <c r="A14" i="1"/>
  <c r="P13" i="1"/>
  <c r="O13" i="1"/>
  <c r="M13" i="1"/>
  <c r="L13" i="1"/>
  <c r="J13" i="1"/>
  <c r="G13" i="1"/>
  <c r="A13" i="1"/>
  <c r="P12" i="1"/>
  <c r="O12" i="1"/>
  <c r="M12" i="1"/>
  <c r="L12" i="1"/>
  <c r="J12" i="1"/>
  <c r="G12" i="1"/>
  <c r="A12" i="1"/>
  <c r="P11" i="1"/>
  <c r="O11" i="1"/>
  <c r="M11" i="1"/>
  <c r="L11" i="1"/>
  <c r="J11" i="1"/>
  <c r="G11" i="1"/>
  <c r="A11" i="1"/>
  <c r="P10" i="1"/>
  <c r="O10" i="1"/>
  <c r="M10" i="1"/>
  <c r="L10" i="1"/>
  <c r="J10" i="1"/>
  <c r="G10" i="1"/>
  <c r="A10" i="1"/>
  <c r="P9" i="1"/>
  <c r="O9" i="1"/>
  <c r="M9" i="1"/>
  <c r="L9" i="1"/>
  <c r="J9" i="1"/>
  <c r="G9" i="1"/>
  <c r="A9" i="1"/>
  <c r="P8" i="1"/>
  <c r="O8" i="1"/>
  <c r="M8" i="1"/>
  <c r="L8" i="1"/>
  <c r="J8" i="1"/>
  <c r="G8" i="1"/>
  <c r="A8" i="1"/>
</calcChain>
</file>

<file path=xl/sharedStrings.xml><?xml version="1.0" encoding="utf-8"?>
<sst xmlns="http://schemas.openxmlformats.org/spreadsheetml/2006/main" count="599" uniqueCount="335">
  <si>
    <t>DETAILED BREAKDOWN OF ITEMS</t>
  </si>
  <si>
    <t>Project Name</t>
  </si>
  <si>
    <t>Project Address</t>
  </si>
  <si>
    <t>Scope:</t>
  </si>
  <si>
    <t>SITEWORK</t>
  </si>
  <si>
    <t>S#</t>
  </si>
  <si>
    <t>Dwg.</t>
  </si>
  <si>
    <t>CSI NO</t>
  </si>
  <si>
    <t>DESCRIPTION</t>
  </si>
  <si>
    <t>QTY.</t>
  </si>
  <si>
    <t>Wastage</t>
  </si>
  <si>
    <t>Qty w/ Waste</t>
  </si>
  <si>
    <t>UNIT</t>
  </si>
  <si>
    <t>UNIT LABOR HOUR</t>
  </si>
  <si>
    <t>TOTAL LABOR HOUR</t>
  </si>
  <si>
    <t>LABOR WAGE/ HOUR</t>
  </si>
  <si>
    <t>UNIT LABOR COST</t>
  </si>
  <si>
    <t>TOTAL LABOR COST</t>
  </si>
  <si>
    <t>UNIT MATERIAL  COST</t>
  </si>
  <si>
    <t>TOTAL MATERIAL COST</t>
  </si>
  <si>
    <t>UNIT PRICE (Labor &amp; Material)</t>
  </si>
  <si>
    <t>TRADE TOTAL</t>
  </si>
  <si>
    <t>DIVISION 01-GENERAL REQUIREMENTS</t>
  </si>
  <si>
    <t>Permits</t>
  </si>
  <si>
    <t>LS</t>
  </si>
  <si>
    <t>Supervision and Coordination</t>
  </si>
  <si>
    <t>Submittals and Shop drawings</t>
  </si>
  <si>
    <t>Final Cleaning</t>
  </si>
  <si>
    <t>Mobilization Costs</t>
  </si>
  <si>
    <t>Temporary Control &amp; Facilities</t>
  </si>
  <si>
    <t>Scaffolding</t>
  </si>
  <si>
    <t>SUBTOTAL</t>
  </si>
  <si>
    <t>DIVISION 02- EXISTING CONDITIONS</t>
  </si>
  <si>
    <t>SITE DEMOLITION</t>
  </si>
  <si>
    <t>C2.0</t>
  </si>
  <si>
    <t>Existing Structure To Be Removed</t>
  </si>
  <si>
    <t>SF</t>
  </si>
  <si>
    <t>Existing Fence &amp; Walls &amp; Gate To Be Removed</t>
  </si>
  <si>
    <t>LF</t>
  </si>
  <si>
    <t>Existing Side Walk To Be Removed</t>
  </si>
  <si>
    <t>Existing Wire Fence To Be Removed</t>
  </si>
  <si>
    <t>Existing Asphalt Pavement To Be Removed</t>
  </si>
  <si>
    <t>Sawcut For Pavement Removal</t>
  </si>
  <si>
    <t>Landscaping Demolition</t>
  </si>
  <si>
    <t>Existing Oak Trees To Be Removed</t>
  </si>
  <si>
    <t>EA</t>
  </si>
  <si>
    <t>Existing Pecan Trees To Be Removed</t>
  </si>
  <si>
    <t>Hauling Of demolation Materials</t>
  </si>
  <si>
    <t>DIVISION 31- EARTHWORK</t>
  </si>
  <si>
    <t>GRADING</t>
  </si>
  <si>
    <t>C2.0-C9</t>
  </si>
  <si>
    <t>Total Cut</t>
  </si>
  <si>
    <t>CY</t>
  </si>
  <si>
    <t>Total Fill</t>
  </si>
  <si>
    <t>Soil To Be Import</t>
  </si>
  <si>
    <t>DIVISION 32- EXTERIOR IMPROVEMENTS</t>
  </si>
  <si>
    <t>EXTERIOR IMPROVEMENTS</t>
  </si>
  <si>
    <t>C2.0-F1.1</t>
  </si>
  <si>
    <t>Wood Fence</t>
  </si>
  <si>
    <t>"G" Wood Fence (8' H )</t>
  </si>
  <si>
    <t>(Light Duty) - Asphalt Pavement</t>
  </si>
  <si>
    <t>"A1" 1.5" Thick Type "D" Hot Asphalt Mix Pavement
 (Light Duty)</t>
  </si>
  <si>
    <t>9" Thick Compacted Flexible Base</t>
  </si>
  <si>
    <t>6" Thick Compacted Sub-Grade</t>
  </si>
  <si>
    <t>Heavy-Duty Concrete Pavement</t>
  </si>
  <si>
    <t>"A3" 6" Thick Heavy-Duty Concrete Pavement 
W/ Reinforcement</t>
  </si>
  <si>
    <t>1/2" Expansion Joint 1/2" X3/8" Sealant</t>
  </si>
  <si>
    <t>1/2"X1/8" Bond Breaker Material</t>
  </si>
  <si>
    <t>1/2" X 6" Resilient Filler</t>
  </si>
  <si>
    <t>1/2" Construction Joint 1/2" X3/8" Sealant</t>
  </si>
  <si>
    <t>Formwork</t>
  </si>
  <si>
    <t>Concrete Sidewalk</t>
  </si>
  <si>
    <t>"B1" 4" Thick Concrete Sidewalk W/ Welded Wire Flat</t>
  </si>
  <si>
    <t>Sheets 6" X 6" W2.9 X W2.9 Or #3 Bars @ 12" O.C.B.W. Centered In Slab</t>
  </si>
  <si>
    <t>1" Thick Sand Cushion</t>
  </si>
  <si>
    <t>Compacted Sub-Grade</t>
  </si>
  <si>
    <t>"B2" 4" Thick Concrete Sidewalk W/ Welded Wire Flat</t>
  </si>
  <si>
    <t>#3 Bars @ 12" O.C Centered In Slab</t>
  </si>
  <si>
    <t>LBS</t>
  </si>
  <si>
    <t>#3 Bars @ 8" O.C Centered In Slab</t>
  </si>
  <si>
    <t>2" Thick Sand Cushion</t>
  </si>
  <si>
    <t>Concrete Curb</t>
  </si>
  <si>
    <t>"C1" (6"X9") Concrete Curb (2390 Lf)</t>
  </si>
  <si>
    <t>2#3 Bar</t>
  </si>
  <si>
    <t>"C2" (20"X9") Standard / Flush Concrete Curb (150 Lf)</t>
  </si>
  <si>
    <t>3#3 Bar</t>
  </si>
  <si>
    <t>"C3" (9"X12") Concrete Curb (156 Lf)</t>
  </si>
  <si>
    <t>18" Bar @ 18" O.C</t>
  </si>
  <si>
    <t>Concrete Wheel stop</t>
  </si>
  <si>
    <t>"F" (10" X6'-0") Precast Concrete Wheel stop W/ 2 #4 Bars</t>
  </si>
  <si>
    <t>"A2" 2" Thick Type "D" Hot Asphalt Mix Pavement
 (Medium Duty)</t>
  </si>
  <si>
    <t>12" Thick Compacted Flexible Base</t>
  </si>
  <si>
    <t>Parking Paint</t>
  </si>
  <si>
    <t>"E1" Pavement Marking International Handicap Symbol</t>
  </si>
  <si>
    <t>"E2" Pavement Marking Pvmt Mrkg: 12" Height Letter At 2" Stroke Width "No Parking"</t>
  </si>
  <si>
    <t>"E5" Pvmt Mrkg: Bus Parking (White)</t>
  </si>
  <si>
    <t>"E6" Pvmt Mrkg: 4" Wide Painted Stripe (White)</t>
  </si>
  <si>
    <t>"E3" Pvmt Mrkg: 12" Height Letter At 2" Stroke Width_x000D_
"No Parking"</t>
  </si>
  <si>
    <t>"E4" Pvmt Mrkg: Exit Only (White)</t>
  </si>
  <si>
    <t>Concrete Flum</t>
  </si>
  <si>
    <t>"K" 6" Thick Concrete Flum</t>
  </si>
  <si>
    <t>"K" (12"X6") Concrete Thicken Edge</t>
  </si>
  <si>
    <t>#4 Bar Each Way</t>
  </si>
  <si>
    <t>#4 Bar @ 12" O.C</t>
  </si>
  <si>
    <t>Sediment Control Trap</t>
  </si>
  <si>
    <t>Sediment Control Trap That Needs To Be Installed</t>
  </si>
  <si>
    <t>Concrete Sidewalk Ramp</t>
  </si>
  <si>
    <t>"B3" 4" Thick Concrete Sidewalk Ramp W/ Grove &amp; Welded</t>
  </si>
  <si>
    <t>Wire Flat Sheets 6" X 6" W2.9 X W2.9 Or #3 Bars @ 12" O.C.B.W. Centered In Slab</t>
  </si>
  <si>
    <t>Decomposed Granite</t>
  </si>
  <si>
    <t>"Q" (7'-0" Deep ) Decomposed Granite (V.I.F)</t>
  </si>
  <si>
    <t>Excavation</t>
  </si>
  <si>
    <t>Signs</t>
  </si>
  <si>
    <t>"D1" Handicap Only W/ Van Accessible Sign</t>
  </si>
  <si>
    <t>"D2" Handicap Only Parking Sign</t>
  </si>
  <si>
    <t>"D3" Bike Parking Sign</t>
  </si>
  <si>
    <t>Signs Footing</t>
  </si>
  <si>
    <t>(1'-0"X2'-6" Deep) Concrete Footing At Sign</t>
  </si>
  <si>
    <t>Backfill</t>
  </si>
  <si>
    <t>Bike Rack Footing</t>
  </si>
  <si>
    <t>(2'-6"X2'-6"X2'-6") Concrete Footing</t>
  </si>
  <si>
    <t>Steel Railing</t>
  </si>
  <si>
    <t>"N" 36" H Steel Handrail</t>
  </si>
  <si>
    <t>Bike Rack</t>
  </si>
  <si>
    <t>"P" (8'-0") Long 11 Ga Steel Pipe 2" Dia W/ Polyester Powder -Coat Finish Bike Rack</t>
  </si>
  <si>
    <t>Concrete Driway</t>
  </si>
  <si>
    <t>6" Concrete Driway W/ Reinforcement (V.I.F) If Require 
Note: Erfe Road Improvements (See Herff Road Commercial - Public) And Priva Te Infrastructure Drawings)</t>
  </si>
  <si>
    <t>Concrete Euipment Pad</t>
  </si>
  <si>
    <t>6" Thick Concrete Euipment Pad</t>
  </si>
  <si>
    <t>Concrete Pad</t>
  </si>
  <si>
    <t>5" Thick Concrete (4000 Psi) Pad</t>
  </si>
  <si>
    <t>#4/Bars @ 12" O.C.E.W.</t>
  </si>
  <si>
    <t>IRRIGATION</t>
  </si>
  <si>
    <t>Irrigation Pipes</t>
  </si>
  <si>
    <t>(1-1/2") Dia Pvc Pipe</t>
  </si>
  <si>
    <t>(1-1/4") Dia Pvc Pipe</t>
  </si>
  <si>
    <t>(1/4") Dia Pvc Pipe</t>
  </si>
  <si>
    <t>(1/2") Dia Pvc Pipe</t>
  </si>
  <si>
    <t>(1") Dia Pvc Pipe</t>
  </si>
  <si>
    <t>(3/4") Dia Pvc Pipe</t>
  </si>
  <si>
    <t>2" Sleeve</t>
  </si>
  <si>
    <t>4" Sleeve</t>
  </si>
  <si>
    <t>Irrigation Trenching</t>
  </si>
  <si>
    <t>Irrigation System Temporary Areas</t>
  </si>
  <si>
    <t>Area To Receive Dripline Netafim Tlcv-06-12
Techline Pressure Compensating Landscape
Dripline With Check Valve. 0.6 Gph Emitters At 12"
O.C. Dripline Laterals Spaced At 18" Apart, With
Emitters Offset For Triangular Pattern. 17Mm.</t>
  </si>
  <si>
    <t>Temporary Turf Irrigation</t>
  </si>
  <si>
    <t>Connections/ Fixtures</t>
  </si>
  <si>
    <t>"F" Rain Bird Mdcfpcap Dripline Flush Valve Purple Cap In Compression Fitting Coupler.
6" Dia Round Valve Box</t>
  </si>
  <si>
    <t>"A" Rain Bird Arv050 1/21N. Air Relief Valve, Made Of Quality Rust-Proof
Materials, With A 61N. Drip Valve Box (Seb 7Xb
Emitter Box). Use With Installation Below Soil.
6" Dia Round Valve Box</t>
  </si>
  <si>
    <t>Pipe Transition Point Above Grade
Pipe Transition Point From Pvc Lateral To Drip
Tubing With Riser To Above Grade Installation.</t>
  </si>
  <si>
    <t>Rain Bird Peb
Plastic Industrial Valves. Low Flow Operating
Capability, Globe Configuration. Size As Shown.</t>
  </si>
  <si>
    <t>Netafim Lvczs8010075-Hf
Pre-Assembled Control Zone Kit, With 1" Series 80
Control Valve, 3/4" Disc Filter, And High Flow
Pressure Regulator 4.5Gpm To 17.6Gpm.</t>
  </si>
  <si>
    <t>"24 Adj" Rain Bird R-Van24 Rd-04-Sam-P45
Turf Rotary, It-24' 45-270 Degrees And 360 Degrees.
Hand Adjustable Multi-Stream Rotary W/Rdi 800
Turf Spray Body On 4.0" Pop-Up, With Check Valve
And 45 Psi In-Stem Pressure Regulator. 1/2" Npt
Female Threaded Inlet.</t>
  </si>
  <si>
    <t>"18 Adj" Rain Bird R-Van18 Rd-04-Sam-P45
Turf Rotary, 13-18'45-270 Degrees And 360 Degrees.
Hand Adjustable Multi-Stream Rotary W/Rdi 800
Turf Spray Body On 4.0" Pop-Up, With Check Valve
And 45 Psi In-Stem Pressure Regulator. 1/2" Npt
Female Threaded Inlet.</t>
  </si>
  <si>
    <t>"14 Adj" Rain Bird R-Van14 Rd-04-Sam-P45
Turf Rotary, 8-14'45-270 Degrees And 360 Degrees.
Hand Adjustable Multi-Stream Rotary W/Rd1800
Turf Spray Body On 4.0" Pop-Up, With Check Valve
And 45 Psi In-Stem Pressure Regulator. 1/2' Npt
Female Threaded Inlet.</t>
  </si>
  <si>
    <t>"M" Water Meter 1" Irrigation Only Water Meter,</t>
  </si>
  <si>
    <t>"Bf" Febco 850 1"
Double Check Backflow Prevention Assembly
Mounted In Below Grade Valve Box, Sized To Allow
Clearances For Repair And Replacement.</t>
  </si>
  <si>
    <t>"Mv" Master Valve 1"
Rain Bird Peb Plastic Remote Control Valve. Low
Flow Operating Capability, Globe Configuration.</t>
  </si>
  <si>
    <t>Shut Off Valve
Sch. 80 Pvc Ball Valve Manufactured By Spears.</t>
  </si>
  <si>
    <t>"1402" Rain Bird 1806-Sam-Prs-1400 Flood 1401
Flood Bubbler 6.0" Popup With Check Valve And
Pressure Regulator</t>
  </si>
  <si>
    <t>"C" Rain Bird Espme
Modular Outdoor Controller.</t>
  </si>
  <si>
    <t>"S" Rain Bird Wr2-Rfc
Wireless Rain And Freeze Sensor Combo, Includes 1
Receiver And 1 Rain/Freeze Sensor Transmitter.</t>
  </si>
  <si>
    <t>120V Junction Box</t>
  </si>
  <si>
    <t>Landscaping</t>
  </si>
  <si>
    <t>Trees</t>
  </si>
  <si>
    <t>"Po" American Sycamore / Platanus Occidentalis
Matching Specimens
Size: 6'-8" H</t>
  </si>
  <si>
    <t>"Bo" Bur Oak 1 Quercus Macrocarpa
Matching Specimens
Size: 14'-16" H</t>
  </si>
  <si>
    <t>"Iy" Pride Of Houston Yaupon Holly / Ilex Vomitoria Pride Of Houston-
Size: 6'-8" H</t>
  </si>
  <si>
    <t>"Pm" Mexican Sycamore / Platanus Mexicana
Matching, Straight Trunk
Size: 10'-16' H</t>
  </si>
  <si>
    <t>Agriform Tablet For Trees</t>
  </si>
  <si>
    <t>Shrubs</t>
  </si>
  <si>
    <t>"Bm" Big Muhly / Muhlenbergia Lindheimeri Full, Well Rooted
Size: 18"-24" H
Agriform Tablet (Two Per Tree)</t>
  </si>
  <si>
    <t>"Ts" Green Cloud Texas Sage / Leucophyllum Frutescens 'Green Cloud' Full. Well Rooted
Size: 24"-36" H</t>
  </si>
  <si>
    <t>"Gc" Grey-Leaf Cotoneaster / Grey-Leaf Cotoneaster Full, Well Rooted
Size: 18"-24" H</t>
  </si>
  <si>
    <t>"Pj" Primrose Jasmine J' Jasminum Mesnyi Full, Weel Rooted
Size: 24"-36" H</t>
  </si>
  <si>
    <t>"Mo" Monterey Oak / Quercus Polymorpha Monterey
Matching Specimens
Size: 14"-16" H</t>
  </si>
  <si>
    <t>Agriform Tablet</t>
  </si>
  <si>
    <t>Soding</t>
  </si>
  <si>
    <t>"Sod" Bermuda Grass Cynodon Dactylon 'Common'
Tight Sand Rolled Joints, Finished Sod To Be Weed Free.</t>
  </si>
  <si>
    <t>Granite</t>
  </si>
  <si>
    <t>"Dg" 3" Thick Decomposed Granite Texas Pink Granite(2007Sf)</t>
  </si>
  <si>
    <t>3" Depth Compacted On Filter Fabric, Stabilizer Additive</t>
  </si>
  <si>
    <t>Gravel</t>
  </si>
  <si>
    <t>"Gra" 4" Depth Texas Blend River Gravel (2304 Sf)</t>
  </si>
  <si>
    <t>On 50Z. Weed Barrier Fabric</t>
  </si>
  <si>
    <t>Compacted Subgrade</t>
  </si>
  <si>
    <t>Edge Staked</t>
  </si>
  <si>
    <t>"Edg" Edging Aluminum Edger W/ 3/16" X 4" Staked
 Painted Green</t>
  </si>
  <si>
    <t>Mulching</t>
  </si>
  <si>
    <t>"Mul" 4" Depth Hardwood Mulch Double Shredded</t>
  </si>
  <si>
    <t>12" Deep Excavation</t>
  </si>
  <si>
    <t>12" Deep Soile Fill For Planting</t>
  </si>
  <si>
    <t>Landscape Berm</t>
  </si>
  <si>
    <t>"H" Soil Fill For Landscape Berm (3' H)</t>
  </si>
  <si>
    <t>Site Fire Protection</t>
  </si>
  <si>
    <t>Hose Lay Around The Building For Fire Protection</t>
  </si>
  <si>
    <t>6" Wide Red Painted Strip Around The Curb For Fire Protection</t>
  </si>
  <si>
    <t>Pedestrian Gate With Knox Box</t>
  </si>
  <si>
    <t>Pavement Parking "No Parking Fire Line" 4" Tall Letter</t>
  </si>
  <si>
    <t>DIVISION 33- UTILITIES</t>
  </si>
  <si>
    <t>UTILITIES</t>
  </si>
  <si>
    <t>Sewer Piping</t>
  </si>
  <si>
    <t>6" Dia Pvc Sewer Pipe Line</t>
  </si>
  <si>
    <t>8" Dia Pvc Pipe Line</t>
  </si>
  <si>
    <t>12" Dia Pvc Pipe Line</t>
  </si>
  <si>
    <t>6" Dia Pvc Pipe Line</t>
  </si>
  <si>
    <t>4" Sewer Line (V.I.F)</t>
  </si>
  <si>
    <t>3" Dia Pvc Sewer Pipe Line</t>
  </si>
  <si>
    <t>6" Dia French Drain</t>
  </si>
  <si>
    <t>Water Piping</t>
  </si>
  <si>
    <t>1" Dia Sch. 40 Pvc Water Line</t>
  </si>
  <si>
    <t>2" Dia Gas Pipe Line</t>
  </si>
  <si>
    <t>6" Dia Pvc Water Pipe Line</t>
  </si>
  <si>
    <t>2" Dia Pvc Water Pipe Line</t>
  </si>
  <si>
    <t>1-1/2" Dia Sch. 40 Pvc Water Line</t>
  </si>
  <si>
    <t>Gas Piping</t>
  </si>
  <si>
    <t>Install Underground Gas Services Line</t>
  </si>
  <si>
    <t>Electric Conduits</t>
  </si>
  <si>
    <t>2" Dia Conduits Install Underground Electric Services Line</t>
  </si>
  <si>
    <t>Trenching Below 3" Pipe</t>
  </si>
  <si>
    <t>(2'-0" Widex3'-6" Deep) Excavation (1861 Lf)</t>
  </si>
  <si>
    <t>(2'-0"X0'-2") Sand Bedding</t>
  </si>
  <si>
    <t>(2'-0"X3'-4") Native Backfill</t>
  </si>
  <si>
    <t>Trenching Above 3" Pipe</t>
  </si>
  <si>
    <t>(2'-0" Widex3'-6" Deep) Excavation (2527 Lf)</t>
  </si>
  <si>
    <t>(2'-0"X1'-6") Sand Bedding</t>
  </si>
  <si>
    <t>(2'-0"X1'-0") Gravel Fill</t>
  </si>
  <si>
    <t>(2'-0"X1'-0") Native Backfill</t>
  </si>
  <si>
    <t>Rip-Rap</t>
  </si>
  <si>
    <t>(8" Depth) Rock Rubble Rip-Rap</t>
  </si>
  <si>
    <t>Connection Pipe Line To Existing Sewer</t>
  </si>
  <si>
    <t>12" Stainless Steel Floor Drain
(Zurn@ Model #Z1899, Or Equal</t>
  </si>
  <si>
    <t>12" Precast Drain Basin (1'-6" H)</t>
  </si>
  <si>
    <t>New To Existing Pvc Pipe Line Connection</t>
  </si>
  <si>
    <t>Pvc Sewer Pipe Line To Building Line Connection</t>
  </si>
  <si>
    <t>Gas Pipe Line To Building Line Connection</t>
  </si>
  <si>
    <t>Electrical Line To Building Line Connection</t>
  </si>
  <si>
    <t>Domestic Water Pipe Line To Building Line Connection</t>
  </si>
  <si>
    <t>Fire Suppression Pipe Line To Building Line Connection</t>
  </si>
  <si>
    <t>Water Line Stub Up And Cap Services For Future Connection</t>
  </si>
  <si>
    <t>4" Utility Sleeves (Sch 40 Pvc),36" Bury Depth (Min.), And Capped</t>
  </si>
  <si>
    <t>Stub Into Empty Meter Box</t>
  </si>
  <si>
    <t>Tie To 2" Gas Service Stub out And
Place Gas Meter / Regulator</t>
  </si>
  <si>
    <t>Install Customer Riser W/ Fused Disconnect</t>
  </si>
  <si>
    <t>Connection Electrical Line Tie To Existing Overhead Distribution</t>
  </si>
  <si>
    <t>1-1/2" Water Meter (Domestic)</t>
  </si>
  <si>
    <t>3/4" Water Meter (Irrigation)
(Ref: Landscape)</t>
  </si>
  <si>
    <t>6" Double Check Detector Assembly</t>
  </si>
  <si>
    <t>Tie To 6" Stub out At Main Water Line</t>
  </si>
  <si>
    <t>2" Reduced Pressure principle Backflow Preventer (Rpz)</t>
  </si>
  <si>
    <t>1/8" Bend Connection</t>
  </si>
  <si>
    <t>(7'-0"X2'-6") Sanitary Grease Trap</t>
  </si>
  <si>
    <t>2'-0" Dia Sample Port</t>
  </si>
  <si>
    <t>1-1/2" Reduced Pressure principle Backflow Preventer (Rpz)</t>
  </si>
  <si>
    <t>1" Reduced Pressure principle Backflow Preventer (Rpz)</t>
  </si>
  <si>
    <t>Domestic Water Pipe Line Water Merter Connection</t>
  </si>
  <si>
    <t>Cleanout</t>
  </si>
  <si>
    <t>18" Dia Sewer Cleanout (2'-5" H)</t>
  </si>
  <si>
    <t>18" Dia Sewer Cleanout (4'-0" H)</t>
  </si>
  <si>
    <t>18" Dia Sewer Cleanout (5'-0" H)</t>
  </si>
  <si>
    <t>18" Dia Sewer Cleanout (4'-5" H)</t>
  </si>
  <si>
    <t>18" Dia Sewer Cleanout (3'-9" H)</t>
  </si>
  <si>
    <t>Water Storage Tank (Assembly)</t>
  </si>
  <si>
    <t>5,000-Gallon Vertical
Polyethylene Water Storage Tank
6" Thick Flexible Base Material(10'X10')</t>
  </si>
  <si>
    <r>
      <rPr>
        <sz val="12"/>
        <color theme="1"/>
        <rFont val="Calibri"/>
        <charset val="134"/>
      </rPr>
      <t xml:space="preserve">1,000 Gallon Black Poly
Rain Water Catchment Tank
</t>
    </r>
    <r>
      <rPr>
        <sz val="12"/>
        <color rgb="FFFF0000"/>
        <rFont val="Calibri"/>
        <charset val="134"/>
      </rPr>
      <t>Rainwater Contractor To Provide</t>
    </r>
    <r>
      <rPr>
        <sz val="12"/>
        <color theme="1"/>
        <rFont val="Calibri"/>
        <charset val="134"/>
      </rPr>
      <t xml:space="preserve">
Bid For Fully Operational System
From Roof To Outfall.
Provide Engineered Slab. (1 Ls)
6" Thick Flexible Base Material(10'X10')</t>
    </r>
  </si>
  <si>
    <t>3,000-Gallon Vertical
Polyethylene Water Storage Tank
6" Thick Flexible Base Material(10'X10')</t>
  </si>
  <si>
    <t>Rain Water First Flush Filter</t>
  </si>
  <si>
    <t>6" Pvc Overflow (10' H)</t>
  </si>
  <si>
    <t>6" Pvc Pump Discharge Pipe (10' H)</t>
  </si>
  <si>
    <t>2" Pvc Water Pipe Line (4' H)</t>
  </si>
  <si>
    <t>2" Ball Valve (2 Ea For All)</t>
  </si>
  <si>
    <r>
      <rPr>
        <sz val="12"/>
        <color theme="1"/>
        <rFont val="Calibri"/>
        <charset val="134"/>
      </rPr>
      <t>Pre Cast Recess Pump Basin (</t>
    </r>
    <r>
      <rPr>
        <sz val="12"/>
        <color rgb="FFFF0000"/>
        <rFont val="Calibri"/>
        <charset val="134"/>
      </rPr>
      <t>Detail Not Mentioned</t>
    </r>
    <r>
      <rPr>
        <sz val="12"/>
        <color theme="1"/>
        <rFont val="Calibri"/>
        <charset val="134"/>
      </rPr>
      <t>)</t>
    </r>
  </si>
  <si>
    <t>Aggregate</t>
  </si>
  <si>
    <t>12" Thick Aggregate At Detention Pond Area (Thickness Assumed V.I.F)</t>
  </si>
  <si>
    <t>Note: (See Herff Road Commercial - Public) And Priva Te Infrastructure Drawings)</t>
  </si>
  <si>
    <t/>
  </si>
  <si>
    <t>TOTAL LABOR HOURS</t>
  </si>
  <si>
    <t>TOTAL AMOUNT</t>
  </si>
  <si>
    <t>CONTIGENCIES (5%)</t>
  </si>
  <si>
    <t>OVERHEAD&amp; PROFIT (15%)</t>
  </si>
  <si>
    <t>TAX (6.25%)</t>
  </si>
  <si>
    <t>PERFORMANCE AND PAYMENT BONDS</t>
  </si>
  <si>
    <t>TOTAL BASEBID</t>
  </si>
  <si>
    <t>Labor Type</t>
  </si>
  <si>
    <t>Labor Rate</t>
  </si>
  <si>
    <t>Plumbing</t>
  </si>
  <si>
    <t>Plum</t>
  </si>
  <si>
    <t>Earthwork</t>
  </si>
  <si>
    <t>Q14C</t>
  </si>
  <si>
    <t>Exterior Improvement</t>
  </si>
  <si>
    <t>B15S</t>
  </si>
  <si>
    <t>Manhour Increase Factor</t>
  </si>
  <si>
    <t>Each/Count</t>
  </si>
  <si>
    <t>Linear Footage</t>
  </si>
  <si>
    <t>Square Footage</t>
  </si>
  <si>
    <t>Square Yard</t>
  </si>
  <si>
    <t>SY</t>
  </si>
  <si>
    <t>Cubic Yard</t>
  </si>
  <si>
    <t>Lumpsum</t>
  </si>
  <si>
    <t>Survery</t>
  </si>
  <si>
    <t>Survey</t>
  </si>
  <si>
    <t>Stair Riser</t>
  </si>
  <si>
    <t>RISER</t>
  </si>
  <si>
    <t>Blocks Count</t>
  </si>
  <si>
    <t>BLOCKS</t>
  </si>
  <si>
    <t>Bags of Pre-Mix Mortar</t>
  </si>
  <si>
    <t>BAGS</t>
  </si>
  <si>
    <t>Linear Footage of Wall</t>
  </si>
  <si>
    <t>LF.Wall</t>
  </si>
  <si>
    <t>Pounds</t>
  </si>
  <si>
    <t>Pieces</t>
  </si>
  <si>
    <t>PCs</t>
  </si>
  <si>
    <t>Location</t>
  </si>
  <si>
    <t>LOC</t>
  </si>
  <si>
    <t>Bundle</t>
  </si>
  <si>
    <t>Rolls</t>
  </si>
  <si>
    <t>ROLLS</t>
  </si>
  <si>
    <t>Boxes</t>
  </si>
  <si>
    <t>BOX</t>
  </si>
  <si>
    <t>Holeses</t>
  </si>
  <si>
    <t>Holes</t>
  </si>
  <si>
    <t>PC</t>
  </si>
  <si>
    <t>Tubes</t>
  </si>
  <si>
    <t>Tube</t>
  </si>
  <si>
    <t>Gallons</t>
  </si>
  <si>
    <t>GA</t>
  </si>
  <si>
    <t>Square of Roofing</t>
  </si>
  <si>
    <t>SQ</t>
  </si>
  <si>
    <t>N/A</t>
  </si>
  <si>
    <t>NOTE:</t>
  </si>
  <si>
    <t>Prevailing wages have been included in this estimate in compliance with the Davis-Bacon Act.</t>
  </si>
  <si>
    <t>Material pricing is based on current market rates sourced from reputable online platforms and suppliers.</t>
  </si>
  <si>
    <t>Please note that actual costs may vary depending on site-specific conditions, unforeseen circumstances, or changes in market conditions.</t>
  </si>
  <si>
    <t>XYZ</t>
  </si>
  <si>
    <t>ABC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</si>
</sst>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(&quot;$&quot;* #,##0.00_);_(&quot;$&quot;* \(#,##0.00\);_(&quot;$&quot;* &quot;-&quot;??_);_(@_)"/>
    <numFmt numFmtId="167" formatCode="_(&quot;$&quot;* #,##0_);_(&quot;$&quot;* \(#,##0\);_(&quot;$&quot;* &quot;-&quot;??_);_(@_)"/>
    <numFmt numFmtId="168" formatCode="000000"/>
    <numFmt numFmtId="169" formatCode="0.000"/>
    <numFmt numFmtId="170" formatCode="0.0"/>
    <numFmt numFmtId="171" formatCode="_(&quot;$&quot;* #,##0.0_);_(&quot;$&quot;* \(#,##0.0\);_(&quot;$&quot;* &quot;-&quot;??_);_(@_)"/>
    <numFmt numFmtId="172" formatCode="[$-409]d/mmm/yy;@"/>
    <numFmt numFmtId="173" formatCode="0.0000"/>
    <numFmt numFmtId="174" formatCode="0.0%"/>
  </numFmts>
  <fonts count="34">
    <font>
      <sz val="11"/>
      <color theme="1"/>
      <name val="Tw Cen MT"/>
      <charset val="134"/>
      <scheme val="minor"/>
    </font>
    <font>
      <b/>
      <sz val="11"/>
      <color theme="1"/>
      <name val="Calibri"/>
      <charset val="134"/>
    </font>
    <font>
      <sz val="11"/>
      <color theme="1"/>
      <name val="Calibri"/>
      <charset val="134"/>
    </font>
    <font>
      <b/>
      <i/>
      <sz val="11"/>
      <color theme="1"/>
      <name val="Calibri"/>
      <charset val="134"/>
    </font>
    <font>
      <b/>
      <i/>
      <sz val="12"/>
      <color theme="1"/>
      <name val="Calibri"/>
      <charset val="134"/>
    </font>
    <font>
      <b/>
      <sz val="10"/>
      <color rgb="FFFF0000"/>
      <name val="Calibri"/>
      <charset val="134"/>
    </font>
    <font>
      <sz val="10"/>
      <color theme="1"/>
      <name val="Calibri"/>
      <charset val="134"/>
    </font>
    <font>
      <sz val="12"/>
      <color theme="1"/>
      <name val="Calibri"/>
      <charset val="134"/>
    </font>
    <font>
      <sz val="12"/>
      <color indexed="8"/>
      <name val="Calibri"/>
      <charset val="134"/>
    </font>
    <font>
      <sz val="12"/>
      <color rgb="FF000000"/>
      <name val="Calibri"/>
      <charset val="134"/>
    </font>
    <font>
      <b/>
      <sz val="14"/>
      <color theme="0"/>
      <name val="Calibri"/>
      <charset val="134"/>
    </font>
    <font>
      <b/>
      <sz val="14"/>
      <color theme="1"/>
      <name val="Calibri"/>
      <charset val="134"/>
    </font>
    <font>
      <sz val="12"/>
      <name val="Calibri"/>
      <charset val="134"/>
    </font>
    <font>
      <b/>
      <sz val="12"/>
      <color theme="1"/>
      <name val="Calibri"/>
      <charset val="134"/>
    </font>
    <font>
      <b/>
      <sz val="14"/>
      <name val="Calibri"/>
      <charset val="134"/>
    </font>
    <font>
      <b/>
      <sz val="12"/>
      <color rgb="FF009A88"/>
      <name val="Calibri"/>
      <charset val="134"/>
    </font>
    <font>
      <sz val="12"/>
      <color rgb="FFFFFFFF"/>
      <name val="Calibri"/>
      <charset val="134"/>
    </font>
    <font>
      <b/>
      <sz val="12"/>
      <color rgb="FFFFFFFF"/>
      <name val="Calibri"/>
      <charset val="134"/>
    </font>
    <font>
      <sz val="12"/>
      <color indexed="9"/>
      <name val="Calibri"/>
      <charset val="134"/>
    </font>
    <font>
      <b/>
      <sz val="12"/>
      <color indexed="9"/>
      <name val="Calibri"/>
      <charset val="134"/>
    </font>
    <font>
      <b/>
      <sz val="12"/>
      <color indexed="8"/>
      <name val="Calibri"/>
      <charset val="134"/>
    </font>
    <font>
      <b/>
      <sz val="12"/>
      <name val="Calibri"/>
      <charset val="134"/>
    </font>
    <font>
      <u/>
      <sz val="12"/>
      <color indexed="10"/>
      <name val="Calibri"/>
      <charset val="134"/>
    </font>
    <font>
      <b/>
      <sz val="12"/>
      <color rgb="FF000000"/>
      <name val="Calibri"/>
      <charset val="134"/>
    </font>
    <font>
      <sz val="12"/>
      <color rgb="FF0C0C0C"/>
      <name val="Calibri"/>
      <charset val="134"/>
    </font>
    <font>
      <b/>
      <sz val="12"/>
      <color rgb="FFC00000"/>
      <name val="Calibri"/>
      <charset val="134"/>
    </font>
    <font>
      <b/>
      <sz val="12"/>
      <color theme="6"/>
      <name val="Calibri"/>
      <charset val="134"/>
    </font>
    <font>
      <sz val="12"/>
      <color rgb="FFFF0000"/>
      <name val="Calibri"/>
      <charset val="134"/>
    </font>
    <font>
      <b/>
      <sz val="12"/>
      <color rgb="FF0C0C0C"/>
      <name val="Calibri"/>
      <charset val="134"/>
    </font>
    <font>
      <b/>
      <sz val="11"/>
      <color rgb="FF000000"/>
      <name val="Calibri"/>
      <charset val="134"/>
    </font>
    <font>
      <sz val="12"/>
      <name val="Arial"/>
      <charset val="134"/>
    </font>
    <font>
      <sz val="11"/>
      <color rgb="FF000000"/>
      <name val="Calibri"/>
      <charset val="134"/>
    </font>
    <font>
      <b/>
      <sz val="12"/>
      <color theme="1"/>
      <name val="Tw Cen MT"/>
      <charset val="134"/>
      <scheme val="minor"/>
    </font>
    <font>
      <sz val="11"/>
      <color theme="1"/>
      <name val="Tw Cen MT"/>
      <charset val="134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496A"/>
        <bgColor indexed="64"/>
      </patternFill>
    </fill>
    <fill>
      <patternFill patternType="solid">
        <fgColor rgb="FF366092"/>
        <bgColor rgb="FF366092"/>
      </patternFill>
    </fill>
    <fill>
      <patternFill patternType="solid">
        <fgColor rgb="FF366092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9DC3E5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DAEEF3"/>
        <bgColor rgb="FFDAEEF3"/>
      </patternFill>
    </fill>
    <fill>
      <patternFill patternType="solid">
        <fgColor rgb="FFB6DDE8"/>
        <bgColor rgb="FFB6DDE8"/>
      </patternFill>
    </fill>
    <fill>
      <patternFill patternType="solid">
        <fgColor rgb="FF92CDDC"/>
        <bgColor rgb="FF92CDDC"/>
      </patternFill>
    </fill>
    <fill>
      <patternFill patternType="solid">
        <fgColor rgb="FFFFFFCC"/>
        <bgColor indexed="64"/>
      </patternFill>
    </fill>
  </fills>
  <borders count="3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12">
    <xf numFmtId="0" fontId="0" fillId="0" borderId="0"/>
    <xf numFmtId="44" fontId="33" fillId="0" borderId="0" applyFont="0" applyFill="0" applyBorder="0" applyAlignment="0" applyProtection="0"/>
    <xf numFmtId="0" fontId="33" fillId="17" borderId="38" applyNumberFormat="0" applyFont="0" applyAlignment="0" applyProtection="0"/>
    <xf numFmtId="44" fontId="33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33" fillId="0" borderId="0"/>
    <xf numFmtId="0" fontId="30" fillId="0" borderId="0"/>
    <xf numFmtId="0" fontId="31" fillId="0" borderId="0">
      <protection locked="0"/>
    </xf>
    <xf numFmtId="9" fontId="30" fillId="0" borderId="0" applyFont="0" applyFill="0" applyBorder="0" applyAlignment="0" applyProtection="0"/>
    <xf numFmtId="9" fontId="33" fillId="0" borderId="0" applyFont="0" applyFill="0" applyBorder="0" applyAlignment="0" applyProtection="0"/>
    <xf numFmtId="1" fontId="32" fillId="2" borderId="15">
      <alignment horizontal="center" vertical="center"/>
    </xf>
  </cellStyleXfs>
  <cellXfs count="222">
    <xf numFmtId="0" fontId="0" fillId="0" borderId="0" xfId="0"/>
    <xf numFmtId="0" fontId="1" fillId="2" borderId="0" xfId="6" applyFont="1" applyFill="1"/>
    <xf numFmtId="0" fontId="2" fillId="2" borderId="0" xfId="6" applyFont="1" applyFill="1"/>
    <xf numFmtId="0" fontId="3" fillId="2" borderId="0" xfId="6" applyFont="1" applyFill="1"/>
    <xf numFmtId="0" fontId="4" fillId="3" borderId="1" xfId="6" applyFont="1" applyFill="1" applyBorder="1" applyAlignment="1">
      <alignment horizontal="center"/>
    </xf>
    <xf numFmtId="0" fontId="4" fillId="3" borderId="2" xfId="6" applyFont="1" applyFill="1" applyBorder="1" applyAlignment="1">
      <alignment horizontal="center"/>
    </xf>
    <xf numFmtId="0" fontId="3" fillId="4" borderId="3" xfId="6" applyFont="1" applyFill="1" applyBorder="1" applyAlignment="1">
      <alignment horizontal="right"/>
    </xf>
    <xf numFmtId="0" fontId="4" fillId="4" borderId="4" xfId="6" applyFont="1" applyFill="1" applyBorder="1"/>
    <xf numFmtId="44" fontId="4" fillId="4" borderId="5" xfId="5" applyFont="1" applyFill="1" applyBorder="1"/>
    <xf numFmtId="0" fontId="3" fillId="4" borderId="6" xfId="6" applyFont="1" applyFill="1" applyBorder="1" applyAlignment="1">
      <alignment horizontal="right"/>
    </xf>
    <xf numFmtId="0" fontId="4" fillId="4" borderId="0" xfId="6" applyFont="1" applyFill="1"/>
    <xf numFmtId="44" fontId="4" fillId="4" borderId="7" xfId="5" applyFont="1" applyFill="1" applyBorder="1"/>
    <xf numFmtId="44" fontId="2" fillId="2" borderId="0" xfId="6" applyNumberFormat="1" applyFont="1" applyFill="1"/>
    <xf numFmtId="0" fontId="3" fillId="4" borderId="8" xfId="6" applyFont="1" applyFill="1" applyBorder="1" applyAlignment="1">
      <alignment horizontal="right"/>
    </xf>
    <xf numFmtId="0" fontId="4" fillId="4" borderId="9" xfId="6" applyFont="1" applyFill="1" applyBorder="1"/>
    <xf numFmtId="167" fontId="4" fillId="4" borderId="10" xfId="5" applyNumberFormat="1" applyFont="1" applyFill="1" applyBorder="1"/>
    <xf numFmtId="0" fontId="3" fillId="3" borderId="1" xfId="6" applyFont="1" applyFill="1" applyBorder="1" applyAlignment="1">
      <alignment horizontal="right"/>
    </xf>
    <xf numFmtId="9" fontId="3" fillId="3" borderId="2" xfId="10" applyFont="1" applyFill="1" applyBorder="1"/>
    <xf numFmtId="0" fontId="4" fillId="5" borderId="3" xfId="6" applyFont="1" applyFill="1" applyBorder="1" applyAlignment="1">
      <alignment horizontal="right"/>
    </xf>
    <xf numFmtId="0" fontId="4" fillId="5" borderId="4" xfId="6" applyFont="1" applyFill="1" applyBorder="1"/>
    <xf numFmtId="9" fontId="4" fillId="5" borderId="5" xfId="10" applyFont="1" applyFill="1" applyBorder="1"/>
    <xf numFmtId="0" fontId="4" fillId="5" borderId="6" xfId="6" applyFont="1" applyFill="1" applyBorder="1"/>
    <xf numFmtId="0" fontId="4" fillId="5" borderId="0" xfId="6" applyFont="1" applyFill="1"/>
    <xf numFmtId="9" fontId="4" fillId="5" borderId="7" xfId="10" applyFont="1" applyFill="1" applyBorder="1"/>
    <xf numFmtId="0" fontId="4" fillId="5" borderId="8" xfId="6" applyFont="1" applyFill="1" applyBorder="1"/>
    <xf numFmtId="0" fontId="4" fillId="5" borderId="9" xfId="6" applyFont="1" applyFill="1" applyBorder="1"/>
    <xf numFmtId="9" fontId="4" fillId="5" borderId="10" xfId="10" applyFont="1" applyFill="1" applyBorder="1"/>
    <xf numFmtId="0" fontId="5" fillId="2" borderId="0" xfId="6" applyFont="1" applyFill="1"/>
    <xf numFmtId="0" fontId="6" fillId="2" borderId="0" xfId="6" applyFont="1" applyFill="1"/>
    <xf numFmtId="0" fontId="7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vertical="center"/>
    </xf>
    <xf numFmtId="0" fontId="12" fillId="2" borderId="0" xfId="0" applyFont="1" applyFill="1" applyAlignment="1">
      <alignment horizontal="center" vertical="center"/>
    </xf>
    <xf numFmtId="0" fontId="13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12" fillId="2" borderId="0" xfId="0" applyFont="1" applyFill="1" applyAlignment="1">
      <alignment horizontal="left" vertical="center" wrapText="1"/>
    </xf>
    <xf numFmtId="3" fontId="15" fillId="2" borderId="0" xfId="0" applyNumberFormat="1" applyFont="1" applyFill="1" applyAlignment="1">
      <alignment horizontal="left" vertical="center" wrapText="1"/>
    </xf>
    <xf numFmtId="168" fontId="16" fillId="8" borderId="12" xfId="0" applyNumberFormat="1" applyFont="1" applyFill="1" applyBorder="1" applyAlignment="1">
      <alignment horizontal="center" vertical="center" wrapText="1"/>
    </xf>
    <xf numFmtId="168" fontId="16" fillId="8" borderId="13" xfId="0" applyNumberFormat="1" applyFont="1" applyFill="1" applyBorder="1" applyAlignment="1">
      <alignment horizontal="center" vertical="center" wrapText="1"/>
    </xf>
    <xf numFmtId="0" fontId="17" fillId="8" borderId="13" xfId="0" applyFont="1" applyFill="1" applyBorder="1" applyAlignment="1">
      <alignment horizontal="center" vertical="center" wrapText="1"/>
    </xf>
    <xf numFmtId="168" fontId="18" fillId="9" borderId="14" xfId="0" applyNumberFormat="1" applyFont="1" applyFill="1" applyBorder="1" applyAlignment="1">
      <alignment horizontal="center" vertical="center" wrapText="1"/>
    </xf>
    <xf numFmtId="168" fontId="18" fillId="9" borderId="15" xfId="0" applyNumberFormat="1" applyFont="1" applyFill="1" applyBorder="1" applyAlignment="1">
      <alignment horizontal="center" vertical="center" wrapText="1"/>
    </xf>
    <xf numFmtId="168" fontId="16" fillId="8" borderId="15" xfId="0" applyNumberFormat="1" applyFont="1" applyFill="1" applyBorder="1" applyAlignment="1">
      <alignment horizontal="center" vertical="center" wrapText="1"/>
    </xf>
    <xf numFmtId="0" fontId="19" fillId="9" borderId="15" xfId="0" applyFont="1" applyFill="1" applyBorder="1" applyAlignment="1">
      <alignment horizontal="left" vertical="center" wrapText="1"/>
    </xf>
    <xf numFmtId="1" fontId="12" fillId="2" borderId="12" xfId="2" applyNumberFormat="1" applyFont="1" applyFill="1" applyBorder="1" applyAlignment="1">
      <alignment horizontal="center" vertical="center"/>
    </xf>
    <xf numFmtId="1" fontId="12" fillId="2" borderId="16" xfId="2" applyNumberFormat="1" applyFont="1" applyFill="1" applyBorder="1" applyAlignment="1">
      <alignment horizontal="center" vertical="center"/>
    </xf>
    <xf numFmtId="0" fontId="7" fillId="0" borderId="13" xfId="0" applyFont="1" applyBorder="1" applyAlignment="1">
      <alignment horizontal="left" vertical="center"/>
    </xf>
    <xf numFmtId="0" fontId="7" fillId="0" borderId="13" xfId="0" applyFont="1" applyBorder="1" applyAlignment="1">
      <alignment horizontal="center" vertical="center"/>
    </xf>
    <xf numFmtId="9" fontId="7" fillId="0" borderId="13" xfId="0" applyNumberFormat="1" applyFont="1" applyBorder="1" applyAlignment="1">
      <alignment horizontal="center" vertical="center"/>
    </xf>
    <xf numFmtId="1" fontId="7" fillId="0" borderId="13" xfId="0" applyNumberFormat="1" applyFont="1" applyBorder="1" applyAlignment="1">
      <alignment horizontal="center" vertical="center"/>
    </xf>
    <xf numFmtId="1" fontId="12" fillId="2" borderId="14" xfId="2" applyNumberFormat="1" applyFont="1" applyFill="1" applyBorder="1" applyAlignment="1">
      <alignment horizontal="center" vertical="center"/>
    </xf>
    <xf numFmtId="1" fontId="12" fillId="2" borderId="17" xfId="2" applyNumberFormat="1" applyFont="1" applyFill="1" applyBorder="1" applyAlignment="1">
      <alignment horizontal="center" vertical="center"/>
    </xf>
    <xf numFmtId="0" fontId="7" fillId="0" borderId="15" xfId="0" applyFont="1" applyBorder="1" applyAlignment="1">
      <alignment horizontal="left" vertical="center"/>
    </xf>
    <xf numFmtId="0" fontId="7" fillId="0" borderId="15" xfId="0" applyFont="1" applyBorder="1" applyAlignment="1">
      <alignment horizontal="center" vertical="center"/>
    </xf>
    <xf numFmtId="9" fontId="7" fillId="0" borderId="15" xfId="0" applyNumberFormat="1" applyFont="1" applyBorder="1" applyAlignment="1">
      <alignment horizontal="center" vertical="center"/>
    </xf>
    <xf numFmtId="1" fontId="7" fillId="0" borderId="15" xfId="0" applyNumberFormat="1" applyFont="1" applyBorder="1" applyAlignment="1">
      <alignment horizontal="center" vertical="center"/>
    </xf>
    <xf numFmtId="0" fontId="7" fillId="0" borderId="18" xfId="0" applyFont="1" applyBorder="1" applyAlignment="1">
      <alignment horizontal="left" vertical="center"/>
    </xf>
    <xf numFmtId="0" fontId="7" fillId="0" borderId="18" xfId="0" applyFont="1" applyBorder="1" applyAlignment="1">
      <alignment horizontal="center" vertical="center"/>
    </xf>
    <xf numFmtId="9" fontId="7" fillId="0" borderId="18" xfId="0" applyNumberFormat="1" applyFont="1" applyBorder="1" applyAlignment="1">
      <alignment horizontal="center" vertical="center"/>
    </xf>
    <xf numFmtId="1" fontId="7" fillId="0" borderId="18" xfId="0" applyNumberFormat="1" applyFont="1" applyBorder="1" applyAlignment="1">
      <alignment horizontal="center" vertical="center"/>
    </xf>
    <xf numFmtId="0" fontId="13" fillId="0" borderId="19" xfId="0" applyFont="1" applyBorder="1" applyAlignment="1">
      <alignment vertical="center"/>
    </xf>
    <xf numFmtId="0" fontId="13" fillId="0" borderId="20" xfId="0" applyFont="1" applyBorder="1" applyAlignment="1">
      <alignment vertical="center"/>
    </xf>
    <xf numFmtId="0" fontId="13" fillId="0" borderId="21" xfId="0" applyFont="1" applyBorder="1" applyAlignment="1">
      <alignment vertical="center"/>
    </xf>
    <xf numFmtId="0" fontId="20" fillId="0" borderId="22" xfId="0" applyFont="1" applyBorder="1" applyAlignment="1">
      <alignment horizontal="right" vertical="center" wrapText="1"/>
    </xf>
    <xf numFmtId="0" fontId="13" fillId="0" borderId="23" xfId="0" applyFont="1" applyBorder="1" applyAlignment="1">
      <alignment vertical="center"/>
    </xf>
    <xf numFmtId="0" fontId="13" fillId="0" borderId="24" xfId="0" applyFont="1" applyBorder="1" applyAlignment="1">
      <alignment vertical="center"/>
    </xf>
    <xf numFmtId="1" fontId="12" fillId="0" borderId="14" xfId="2" applyNumberFormat="1" applyFont="1" applyFill="1" applyBorder="1" applyAlignment="1">
      <alignment horizontal="center" vertical="center"/>
    </xf>
    <xf numFmtId="1" fontId="12" fillId="0" borderId="15" xfId="2" applyNumberFormat="1" applyFont="1" applyFill="1" applyBorder="1" applyAlignment="1">
      <alignment vertical="center"/>
    </xf>
    <xf numFmtId="1" fontId="12" fillId="0" borderId="21" xfId="2" applyNumberFormat="1" applyFont="1" applyFill="1" applyBorder="1" applyAlignment="1">
      <alignment horizontal="center" vertical="center"/>
    </xf>
    <xf numFmtId="0" fontId="20" fillId="10" borderId="15" xfId="0" applyFont="1" applyFill="1" applyBorder="1"/>
    <xf numFmtId="0" fontId="7" fillId="0" borderId="17" xfId="0" applyFont="1" applyBorder="1" applyAlignment="1">
      <alignment horizontal="center" vertical="center"/>
    </xf>
    <xf numFmtId="0" fontId="7" fillId="0" borderId="15" xfId="0" applyFont="1" applyBorder="1" applyAlignment="1">
      <alignment horizontal="left" vertical="top"/>
    </xf>
    <xf numFmtId="1" fontId="12" fillId="2" borderId="20" xfId="2" applyNumberFormat="1" applyFont="1" applyFill="1" applyBorder="1" applyAlignment="1">
      <alignment horizontal="center" vertical="center"/>
    </xf>
    <xf numFmtId="0" fontId="7" fillId="0" borderId="15" xfId="0" applyFont="1" applyBorder="1" applyAlignment="1">
      <alignment horizontal="left" vertical="top" wrapText="1"/>
    </xf>
    <xf numFmtId="1" fontId="12" fillId="0" borderId="13" xfId="2" applyNumberFormat="1" applyFont="1" applyFill="1" applyBorder="1" applyAlignment="1">
      <alignment horizontal="center" vertical="center" wrapText="1"/>
    </xf>
    <xf numFmtId="1" fontId="12" fillId="2" borderId="19" xfId="2" applyNumberFormat="1" applyFont="1" applyFill="1" applyBorder="1" applyAlignment="1">
      <alignment horizontal="center" vertical="center"/>
    </xf>
    <xf numFmtId="0" fontId="13" fillId="0" borderId="15" xfId="0" applyFont="1" applyBorder="1" applyAlignment="1">
      <alignment vertical="center"/>
    </xf>
    <xf numFmtId="0" fontId="13" fillId="0" borderId="26" xfId="0" applyFont="1" applyBorder="1" applyAlignment="1">
      <alignment vertical="center"/>
    </xf>
    <xf numFmtId="0" fontId="12" fillId="0" borderId="14" xfId="0" applyFont="1" applyBorder="1" applyAlignment="1">
      <alignment horizontal="center" vertical="center"/>
    </xf>
    <xf numFmtId="0" fontId="22" fillId="0" borderId="18" xfId="0" applyFont="1" applyBorder="1" applyAlignment="1">
      <alignment vertical="center" wrapText="1"/>
    </xf>
    <xf numFmtId="0" fontId="20" fillId="11" borderId="15" xfId="0" applyFont="1" applyFill="1" applyBorder="1"/>
    <xf numFmtId="1" fontId="7" fillId="0" borderId="17" xfId="0" applyNumberFormat="1" applyFont="1" applyBorder="1" applyAlignment="1">
      <alignment horizontal="center" vertical="center"/>
    </xf>
    <xf numFmtId="1" fontId="24" fillId="0" borderId="15" xfId="0" applyNumberFormat="1" applyFont="1" applyBorder="1" applyAlignment="1">
      <alignment horizontal="center" vertical="center"/>
    </xf>
    <xf numFmtId="9" fontId="24" fillId="0" borderId="15" xfId="0" applyNumberFormat="1" applyFont="1" applyBorder="1" applyAlignment="1">
      <alignment horizontal="center" vertical="center"/>
    </xf>
    <xf numFmtId="0" fontId="8" fillId="0" borderId="15" xfId="0" applyFont="1" applyBorder="1" applyAlignment="1">
      <alignment vertical="center" wrapText="1"/>
    </xf>
    <xf numFmtId="0" fontId="8" fillId="0" borderId="15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1" fontId="8" fillId="0" borderId="23" xfId="0" applyNumberFormat="1" applyFont="1" applyBorder="1" applyAlignment="1">
      <alignment horizontal="center" vertical="center"/>
    </xf>
    <xf numFmtId="0" fontId="12" fillId="0" borderId="26" xfId="0" applyFont="1" applyBorder="1" applyAlignment="1">
      <alignment vertical="center"/>
    </xf>
    <xf numFmtId="0" fontId="12" fillId="0" borderId="24" xfId="0" applyFont="1" applyBorder="1" applyAlignment="1">
      <alignment vertical="center"/>
    </xf>
    <xf numFmtId="0" fontId="25" fillId="2" borderId="15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right" wrapText="1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horizontal="left" vertical="center"/>
    </xf>
    <xf numFmtId="0" fontId="21" fillId="2" borderId="0" xfId="0" applyFont="1" applyFill="1" applyAlignment="1">
      <alignment horizontal="right" vertical="center"/>
    </xf>
    <xf numFmtId="0" fontId="26" fillId="2" borderId="0" xfId="0" applyFont="1" applyFill="1" applyAlignment="1">
      <alignment horizontal="center" vertical="center"/>
    </xf>
    <xf numFmtId="0" fontId="26" fillId="2" borderId="0" xfId="0" applyFont="1" applyFill="1" applyAlignment="1">
      <alignment horizontal="left" vertical="center"/>
    </xf>
    <xf numFmtId="169" fontId="9" fillId="0" borderId="15" xfId="0" applyNumberFormat="1" applyFont="1" applyBorder="1" applyAlignment="1">
      <alignment horizontal="center" vertical="center"/>
    </xf>
    <xf numFmtId="170" fontId="9" fillId="0" borderId="15" xfId="0" applyNumberFormat="1" applyFont="1" applyBorder="1" applyAlignment="1">
      <alignment horizontal="center" vertical="center"/>
    </xf>
    <xf numFmtId="44" fontId="7" fillId="0" borderId="15" xfId="1" applyFont="1" applyBorder="1" applyAlignment="1" applyProtection="1">
      <alignment horizontal="center" vertical="center"/>
    </xf>
    <xf numFmtId="171" fontId="7" fillId="0" borderId="15" xfId="0" applyNumberFormat="1" applyFont="1" applyBorder="1" applyAlignment="1">
      <alignment horizontal="left" vertical="center"/>
    </xf>
    <xf numFmtId="169" fontId="9" fillId="0" borderId="18" xfId="0" applyNumberFormat="1" applyFont="1" applyBorder="1" applyAlignment="1">
      <alignment horizontal="center" vertical="center"/>
    </xf>
    <xf numFmtId="170" fontId="9" fillId="0" borderId="18" xfId="0" applyNumberFormat="1" applyFont="1" applyBorder="1" applyAlignment="1">
      <alignment horizontal="center" vertical="center"/>
    </xf>
    <xf numFmtId="44" fontId="7" fillId="0" borderId="18" xfId="1" applyFont="1" applyBorder="1" applyAlignment="1" applyProtection="1">
      <alignment horizontal="center" vertical="center"/>
    </xf>
    <xf numFmtId="171" fontId="7" fillId="0" borderId="18" xfId="0" applyNumberFormat="1" applyFont="1" applyBorder="1" applyAlignment="1">
      <alignment horizontal="left" vertical="center"/>
    </xf>
    <xf numFmtId="44" fontId="13" fillId="0" borderId="23" xfId="1" applyFont="1" applyFill="1" applyBorder="1" applyAlignment="1">
      <alignment horizontal="right" vertical="center"/>
    </xf>
    <xf numFmtId="44" fontId="7" fillId="0" borderId="15" xfId="1" applyFont="1" applyFill="1" applyBorder="1" applyAlignment="1">
      <alignment horizontal="center" vertical="center"/>
    </xf>
    <xf numFmtId="0" fontId="7" fillId="0" borderId="23" xfId="0" applyFont="1" applyBorder="1" applyAlignment="1">
      <alignment vertical="center"/>
    </xf>
    <xf numFmtId="169" fontId="8" fillId="0" borderId="15" xfId="0" applyNumberFormat="1" applyFont="1" applyBorder="1" applyAlignment="1">
      <alignment horizontal="center" vertical="center"/>
    </xf>
    <xf numFmtId="170" fontId="8" fillId="0" borderId="15" xfId="0" applyNumberFormat="1" applyFont="1" applyBorder="1" applyAlignment="1">
      <alignment horizontal="center" vertical="center"/>
    </xf>
    <xf numFmtId="44" fontId="8" fillId="0" borderId="15" xfId="0" applyNumberFormat="1" applyFont="1" applyBorder="1" applyAlignment="1">
      <alignment horizontal="center" vertical="center"/>
    </xf>
    <xf numFmtId="0" fontId="20" fillId="0" borderId="23" xfId="0" applyFont="1" applyBorder="1" applyAlignment="1">
      <alignment vertical="center"/>
    </xf>
    <xf numFmtId="167" fontId="20" fillId="0" borderId="23" xfId="0" applyNumberFormat="1" applyFont="1" applyBorder="1" applyAlignment="1">
      <alignment horizontal="center" vertical="center"/>
    </xf>
    <xf numFmtId="171" fontId="20" fillId="0" borderId="23" xfId="0" applyNumberFormat="1" applyFont="1" applyBorder="1" applyAlignment="1">
      <alignment vertical="center"/>
    </xf>
    <xf numFmtId="171" fontId="8" fillId="0" borderId="23" xfId="0" applyNumberFormat="1" applyFont="1" applyBorder="1" applyAlignment="1">
      <alignment horizontal="center" vertical="center"/>
    </xf>
    <xf numFmtId="172" fontId="14" fillId="2" borderId="7" xfId="0" applyNumberFormat="1" applyFont="1" applyFill="1" applyBorder="1" applyAlignment="1">
      <alignment horizontal="center" vertical="center" wrapText="1"/>
    </xf>
    <xf numFmtId="168" fontId="16" fillId="8" borderId="27" xfId="0" applyNumberFormat="1" applyFont="1" applyFill="1" applyBorder="1" applyAlignment="1">
      <alignment horizontal="center" vertical="center" wrapText="1"/>
    </xf>
    <xf numFmtId="168" fontId="18" fillId="9" borderId="28" xfId="0" applyNumberFormat="1" applyFont="1" applyFill="1" applyBorder="1" applyAlignment="1">
      <alignment horizontal="center" vertical="center" wrapText="1"/>
    </xf>
    <xf numFmtId="44" fontId="7" fillId="2" borderId="0" xfId="0" applyNumberFormat="1" applyFont="1" applyFill="1" applyAlignment="1">
      <alignment vertical="center"/>
    </xf>
    <xf numFmtId="167" fontId="20" fillId="12" borderId="30" xfId="0" applyNumberFormat="1" applyFont="1" applyFill="1" applyBorder="1" applyAlignment="1">
      <alignment horizontal="center" vertical="center"/>
    </xf>
    <xf numFmtId="44" fontId="7" fillId="0" borderId="0" xfId="0" applyNumberFormat="1" applyFont="1" applyAlignment="1">
      <alignment vertical="center"/>
    </xf>
    <xf numFmtId="0" fontId="13" fillId="0" borderId="31" xfId="0" applyFont="1" applyBorder="1" applyAlignment="1">
      <alignment vertical="center"/>
    </xf>
    <xf numFmtId="0" fontId="8" fillId="0" borderId="0" xfId="0" applyFont="1" applyAlignment="1">
      <alignment horizontal="left"/>
    </xf>
    <xf numFmtId="44" fontId="7" fillId="0" borderId="28" xfId="0" applyNumberFormat="1" applyFont="1" applyBorder="1" applyAlignment="1">
      <alignment horizontal="center" vertical="center" wrapText="1"/>
    </xf>
    <xf numFmtId="167" fontId="7" fillId="0" borderId="27" xfId="0" applyNumberFormat="1" applyFont="1" applyBorder="1" applyAlignment="1">
      <alignment horizontal="center" vertical="center" wrapText="1"/>
    </xf>
    <xf numFmtId="167" fontId="7" fillId="0" borderId="28" xfId="0" applyNumberFormat="1" applyFont="1" applyBorder="1" applyAlignment="1">
      <alignment horizontal="center" vertical="center" wrapText="1"/>
    </xf>
    <xf numFmtId="167" fontId="7" fillId="0" borderId="29" xfId="0" applyNumberFormat="1" applyFont="1" applyBorder="1" applyAlignment="1">
      <alignment horizontal="center" vertical="center" wrapText="1"/>
    </xf>
    <xf numFmtId="167" fontId="20" fillId="12" borderId="32" xfId="0" applyNumberFormat="1" applyFont="1" applyFill="1" applyBorder="1" applyAlignment="1">
      <alignment horizontal="center" vertical="center"/>
    </xf>
    <xf numFmtId="167" fontId="13" fillId="0" borderId="31" xfId="0" applyNumberFormat="1" applyFont="1" applyBorder="1" applyAlignment="1">
      <alignment vertical="center"/>
    </xf>
    <xf numFmtId="167" fontId="18" fillId="9" borderId="28" xfId="0" applyNumberFormat="1" applyFont="1" applyFill="1" applyBorder="1" applyAlignment="1">
      <alignment horizontal="center" vertical="center" wrapText="1"/>
    </xf>
    <xf numFmtId="167" fontId="7" fillId="0" borderId="28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167" fontId="12" fillId="0" borderId="31" xfId="0" applyNumberFormat="1" applyFont="1" applyBorder="1" applyAlignment="1">
      <alignment vertical="center"/>
    </xf>
    <xf numFmtId="170" fontId="7" fillId="0" borderId="15" xfId="0" applyNumberFormat="1" applyFont="1" applyBorder="1" applyAlignment="1">
      <alignment horizontal="center" vertical="center"/>
    </xf>
    <xf numFmtId="0" fontId="7" fillId="0" borderId="15" xfId="0" applyFont="1" applyBorder="1" applyAlignment="1">
      <alignment horizontal="right" vertical="top" wrapText="1"/>
    </xf>
    <xf numFmtId="2" fontId="7" fillId="0" borderId="17" xfId="0" applyNumberFormat="1" applyFont="1" applyBorder="1" applyAlignment="1">
      <alignment horizontal="center" vertical="center"/>
    </xf>
    <xf numFmtId="173" fontId="7" fillId="0" borderId="17" xfId="0" applyNumberFormat="1" applyFont="1" applyBorder="1" applyAlignment="1">
      <alignment horizontal="center" vertical="center"/>
    </xf>
    <xf numFmtId="0" fontId="8" fillId="0" borderId="15" xfId="0" applyFont="1" applyBorder="1" applyAlignment="1">
      <alignment vertical="center"/>
    </xf>
    <xf numFmtId="168" fontId="18" fillId="9" borderId="15" xfId="0" applyNumberFormat="1" applyFont="1" applyFill="1" applyBorder="1" applyAlignment="1">
      <alignment horizontal="center" vertical="center"/>
    </xf>
    <xf numFmtId="0" fontId="22" fillId="0" borderId="18" xfId="0" applyFont="1" applyBorder="1" applyAlignment="1">
      <alignment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left" vertical="top" wrapText="1"/>
    </xf>
    <xf numFmtId="0" fontId="27" fillId="0" borderId="15" xfId="0" applyFont="1" applyBorder="1" applyAlignment="1">
      <alignment horizontal="left" vertical="top" wrapText="1"/>
    </xf>
    <xf numFmtId="0" fontId="12" fillId="0" borderId="15" xfId="0" applyFont="1" applyBorder="1" applyAlignment="1">
      <alignment horizontal="center" vertical="center"/>
    </xf>
    <xf numFmtId="0" fontId="23" fillId="14" borderId="14" xfId="0" applyFont="1" applyFill="1" applyBorder="1" applyAlignment="1">
      <alignment horizontal="left" vertical="center"/>
    </xf>
    <xf numFmtId="0" fontId="9" fillId="14" borderId="15" xfId="0" applyFont="1" applyFill="1" applyBorder="1" applyAlignment="1">
      <alignment horizontal="center" vertical="center"/>
    </xf>
    <xf numFmtId="0" fontId="23" fillId="14" borderId="15" xfId="0" applyFont="1" applyFill="1" applyBorder="1" applyAlignment="1">
      <alignment horizontal="center" vertical="center"/>
    </xf>
    <xf numFmtId="0" fontId="23" fillId="14" borderId="15" xfId="0" applyFont="1" applyFill="1" applyBorder="1" applyAlignment="1">
      <alignment horizontal="left" vertical="center" wrapText="1"/>
    </xf>
    <xf numFmtId="0" fontId="28" fillId="14" borderId="15" xfId="0" applyFont="1" applyFill="1" applyBorder="1" applyAlignment="1">
      <alignment horizontal="center" vertical="center"/>
    </xf>
    <xf numFmtId="1" fontId="28" fillId="14" borderId="15" xfId="0" applyNumberFormat="1" applyFont="1" applyFill="1" applyBorder="1" applyAlignment="1">
      <alignment horizontal="center" vertical="center"/>
    </xf>
    <xf numFmtId="0" fontId="23" fillId="14" borderId="15" xfId="0" applyFont="1" applyFill="1" applyBorder="1" applyAlignment="1">
      <alignment horizontal="center"/>
    </xf>
    <xf numFmtId="0" fontId="23" fillId="14" borderId="15" xfId="0" applyFont="1" applyFill="1" applyBorder="1" applyAlignment="1">
      <alignment horizontal="left"/>
    </xf>
    <xf numFmtId="1" fontId="23" fillId="14" borderId="15" xfId="0" applyNumberFormat="1" applyFont="1" applyFill="1" applyBorder="1" applyAlignment="1">
      <alignment horizontal="center" vertical="center"/>
    </xf>
    <xf numFmtId="0" fontId="23" fillId="15" borderId="14" xfId="0" applyFont="1" applyFill="1" applyBorder="1" applyAlignment="1">
      <alignment horizontal="left" vertical="center"/>
    </xf>
    <xf numFmtId="0" fontId="9" fillId="15" borderId="15" xfId="0" applyFont="1" applyFill="1" applyBorder="1" applyAlignment="1">
      <alignment horizontal="center" vertical="center"/>
    </xf>
    <xf numFmtId="0" fontId="23" fillId="15" borderId="15" xfId="0" applyFont="1" applyFill="1" applyBorder="1" applyAlignment="1">
      <alignment horizontal="center"/>
    </xf>
    <xf numFmtId="0" fontId="23" fillId="15" borderId="15" xfId="0" applyFont="1" applyFill="1" applyBorder="1" applyAlignment="1">
      <alignment horizontal="left"/>
    </xf>
    <xf numFmtId="1" fontId="23" fillId="15" borderId="15" xfId="0" applyNumberFormat="1" applyFont="1" applyFill="1" applyBorder="1" applyAlignment="1">
      <alignment horizontal="center" vertical="center"/>
    </xf>
    <xf numFmtId="0" fontId="23" fillId="15" borderId="15" xfId="0" applyFont="1" applyFill="1" applyBorder="1" applyAlignment="1">
      <alignment horizontal="center" vertical="center"/>
    </xf>
    <xf numFmtId="0" fontId="23" fillId="16" borderId="14" xfId="0" applyFont="1" applyFill="1" applyBorder="1" applyAlignment="1">
      <alignment horizontal="left" vertical="center"/>
    </xf>
    <xf numFmtId="0" fontId="9" fillId="16" borderId="15" xfId="0" applyFont="1" applyFill="1" applyBorder="1" applyAlignment="1">
      <alignment horizontal="center" vertical="center"/>
    </xf>
    <xf numFmtId="0" fontId="23" fillId="16" borderId="15" xfId="0" applyFont="1" applyFill="1" applyBorder="1" applyAlignment="1">
      <alignment horizontal="center"/>
    </xf>
    <xf numFmtId="0" fontId="23" fillId="16" borderId="15" xfId="0" applyFont="1" applyFill="1" applyBorder="1" applyAlignment="1">
      <alignment horizontal="left"/>
    </xf>
    <xf numFmtId="1" fontId="23" fillId="16" borderId="15" xfId="0" applyNumberFormat="1" applyFont="1" applyFill="1" applyBorder="1" applyAlignment="1">
      <alignment horizontal="center" vertical="center"/>
    </xf>
    <xf numFmtId="0" fontId="23" fillId="16" borderId="15" xfId="0" applyFont="1" applyFill="1" applyBorder="1" applyAlignment="1">
      <alignment horizontal="center" vertical="center"/>
    </xf>
    <xf numFmtId="0" fontId="23" fillId="16" borderId="34" xfId="0" applyFont="1" applyFill="1" applyBorder="1" applyAlignment="1">
      <alignment horizontal="left" vertical="center"/>
    </xf>
    <xf numFmtId="0" fontId="9" fillId="16" borderId="35" xfId="0" applyFont="1" applyFill="1" applyBorder="1" applyAlignment="1">
      <alignment horizontal="center" vertical="center"/>
    </xf>
    <xf numFmtId="168" fontId="23" fillId="16" borderId="35" xfId="0" applyNumberFormat="1" applyFont="1" applyFill="1" applyBorder="1" applyAlignment="1">
      <alignment horizontal="center" vertical="center"/>
    </xf>
    <xf numFmtId="0" fontId="23" fillId="16" borderId="35" xfId="0" applyFont="1" applyFill="1" applyBorder="1" applyAlignment="1">
      <alignment horizontal="left" vertical="center" wrapText="1"/>
    </xf>
    <xf numFmtId="0" fontId="28" fillId="16" borderId="35" xfId="0" applyFont="1" applyFill="1" applyBorder="1" applyAlignment="1">
      <alignment horizontal="center" vertical="center"/>
    </xf>
    <xf numFmtId="1" fontId="28" fillId="16" borderId="35" xfId="0" applyNumberFormat="1" applyFont="1" applyFill="1" applyBorder="1" applyAlignment="1">
      <alignment horizontal="center" vertical="center"/>
    </xf>
    <xf numFmtId="1" fontId="21" fillId="13" borderId="21" xfId="0" applyNumberFormat="1" applyFont="1" applyFill="1" applyBorder="1" applyAlignment="1">
      <alignment horizontal="center" vertical="center" wrapText="1"/>
    </xf>
    <xf numFmtId="167" fontId="21" fillId="4" borderId="15" xfId="0" applyNumberFormat="1" applyFont="1" applyFill="1" applyBorder="1" applyAlignment="1">
      <alignment horizontal="center" vertical="center"/>
    </xf>
    <xf numFmtId="0" fontId="21" fillId="5" borderId="15" xfId="0" applyFont="1" applyFill="1" applyBorder="1" applyAlignment="1">
      <alignment horizontal="center" vertical="center" wrapText="1"/>
    </xf>
    <xf numFmtId="167" fontId="21" fillId="5" borderId="15" xfId="0" applyNumberFormat="1" applyFont="1" applyFill="1" applyBorder="1" applyAlignment="1">
      <alignment horizontal="center" vertical="center"/>
    </xf>
    <xf numFmtId="44" fontId="28" fillId="14" borderId="15" xfId="0" applyNumberFormat="1" applyFont="1" applyFill="1" applyBorder="1" applyAlignment="1">
      <alignment horizontal="left" vertical="center"/>
    </xf>
    <xf numFmtId="9" fontId="23" fillId="14" borderId="15" xfId="0" applyNumberFormat="1" applyFont="1" applyFill="1" applyBorder="1" applyAlignment="1">
      <alignment horizontal="left" vertical="center"/>
    </xf>
    <xf numFmtId="9" fontId="23" fillId="15" borderId="15" xfId="0" applyNumberFormat="1" applyFont="1" applyFill="1" applyBorder="1" applyAlignment="1">
      <alignment horizontal="left" vertical="center"/>
    </xf>
    <xf numFmtId="10" fontId="23" fillId="16" borderId="15" xfId="0" applyNumberFormat="1" applyFont="1" applyFill="1" applyBorder="1" applyAlignment="1">
      <alignment horizontal="left" vertical="center"/>
    </xf>
    <xf numFmtId="174" fontId="23" fillId="16" borderId="15" xfId="0" applyNumberFormat="1" applyFont="1" applyFill="1" applyBorder="1" applyAlignment="1">
      <alignment horizontal="left" vertical="center"/>
    </xf>
    <xf numFmtId="44" fontId="28" fillId="16" borderId="35" xfId="0" applyNumberFormat="1" applyFont="1" applyFill="1" applyBorder="1" applyAlignment="1">
      <alignment horizontal="left" vertical="center"/>
    </xf>
    <xf numFmtId="171" fontId="7" fillId="0" borderId="28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/>
    </xf>
    <xf numFmtId="167" fontId="29" fillId="14" borderId="28" xfId="0" applyNumberFormat="1" applyFont="1" applyFill="1" applyBorder="1" applyAlignment="1">
      <alignment horizontal="left" vertical="center"/>
    </xf>
    <xf numFmtId="167" fontId="9" fillId="0" borderId="0" xfId="0" applyNumberFormat="1" applyFont="1"/>
    <xf numFmtId="167" fontId="23" fillId="0" borderId="0" xfId="0" applyNumberFormat="1" applyFont="1"/>
    <xf numFmtId="0" fontId="23" fillId="0" borderId="0" xfId="0" applyFont="1"/>
    <xf numFmtId="167" fontId="29" fillId="15" borderId="28" xfId="0" applyNumberFormat="1" applyFont="1" applyFill="1" applyBorder="1" applyAlignment="1">
      <alignment horizontal="left" vertical="center"/>
    </xf>
    <xf numFmtId="167" fontId="29" fillId="16" borderId="28" xfId="0" applyNumberFormat="1" applyFont="1" applyFill="1" applyBorder="1" applyAlignment="1">
      <alignment horizontal="left" vertical="center"/>
    </xf>
    <xf numFmtId="167" fontId="29" fillId="16" borderId="37" xfId="0" applyNumberFormat="1" applyFont="1" applyFill="1" applyBorder="1" applyAlignment="1">
      <alignment horizontal="left" vertical="center"/>
    </xf>
    <xf numFmtId="0" fontId="10" fillId="7" borderId="1" xfId="0" applyFont="1" applyFill="1" applyBorder="1" applyAlignment="1">
      <alignment horizontal="center" vertical="center"/>
    </xf>
    <xf numFmtId="0" fontId="10" fillId="7" borderId="11" xfId="0" applyFont="1" applyFill="1" applyBorder="1" applyAlignment="1">
      <alignment horizontal="center" vertical="center"/>
    </xf>
    <xf numFmtId="0" fontId="10" fillId="7" borderId="2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left" wrapText="1"/>
    </xf>
    <xf numFmtId="3" fontId="11" fillId="2" borderId="0" xfId="0" applyNumberFormat="1" applyFont="1" applyFill="1" applyAlignment="1">
      <alignment horizontal="left"/>
    </xf>
    <xf numFmtId="0" fontId="14" fillId="2" borderId="0" xfId="0" applyFont="1" applyFill="1" applyAlignment="1">
      <alignment horizontal="left" vertical="center"/>
    </xf>
    <xf numFmtId="0" fontId="21" fillId="13" borderId="33" xfId="0" applyFont="1" applyFill="1" applyBorder="1" applyAlignment="1">
      <alignment horizontal="center" vertical="center"/>
    </xf>
    <xf numFmtId="0" fontId="21" fillId="13" borderId="36" xfId="0" applyFont="1" applyFill="1" applyBorder="1" applyAlignment="1">
      <alignment horizontal="center" vertical="center"/>
    </xf>
    <xf numFmtId="0" fontId="21" fillId="4" borderId="33" xfId="0" applyFont="1" applyFill="1" applyBorder="1" applyAlignment="1">
      <alignment horizontal="center" vertical="center" wrapText="1"/>
    </xf>
    <xf numFmtId="0" fontId="21" fillId="4" borderId="36" xfId="0" applyFont="1" applyFill="1" applyBorder="1" applyAlignment="1">
      <alignment horizontal="center" vertical="center" wrapText="1"/>
    </xf>
    <xf numFmtId="1" fontId="21" fillId="0" borderId="18" xfId="2" applyNumberFormat="1" applyFont="1" applyFill="1" applyBorder="1" applyAlignment="1">
      <alignment horizontal="center" vertical="center" wrapText="1"/>
    </xf>
    <xf numFmtId="1" fontId="12" fillId="0" borderId="25" xfId="2" applyNumberFormat="1" applyFont="1" applyFill="1" applyBorder="1" applyAlignment="1">
      <alignment horizontal="center" vertical="center" wrapText="1"/>
    </xf>
    <xf numFmtId="1" fontId="12" fillId="0" borderId="13" xfId="2" applyNumberFormat="1" applyFont="1" applyFill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0" fillId="0" borderId="25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44" fontId="7" fillId="0" borderId="29" xfId="0" applyNumberFormat="1" applyFont="1" applyBorder="1" applyAlignment="1">
      <alignment horizontal="center" vertical="center" wrapText="1"/>
    </xf>
    <xf numFmtId="0" fontId="4" fillId="3" borderId="3" xfId="6" applyFont="1" applyFill="1" applyBorder="1" applyAlignment="1">
      <alignment horizontal="center"/>
    </xf>
    <xf numFmtId="0" fontId="4" fillId="3" borderId="5" xfId="6" applyFont="1" applyFill="1" applyBorder="1" applyAlignment="1">
      <alignment horizontal="center"/>
    </xf>
  </cellXfs>
  <cellStyles count="12">
    <cellStyle name="Currency" xfId="1" builtinId="4"/>
    <cellStyle name="Currency 2" xfId="3" xr:uid="{00000000-0005-0000-0000-000031000000}"/>
    <cellStyle name="Currency 3" xfId="4" xr:uid="{00000000-0005-0000-0000-000032000000}"/>
    <cellStyle name="Currency 4" xfId="5" xr:uid="{00000000-0005-0000-0000-000033000000}"/>
    <cellStyle name="Normal" xfId="0" builtinId="0"/>
    <cellStyle name="Normal 2" xfId="6" xr:uid="{00000000-0005-0000-0000-000034000000}"/>
    <cellStyle name="Normal 2 3" xfId="7" xr:uid="{00000000-0005-0000-0000-000035000000}"/>
    <cellStyle name="Normal 4" xfId="8" xr:uid="{00000000-0005-0000-0000-000036000000}"/>
    <cellStyle name="Note" xfId="2" builtinId="10"/>
    <cellStyle name="Percent 2" xfId="9" xr:uid="{00000000-0005-0000-0000-000037000000}"/>
    <cellStyle name="Percent 3" xfId="10" xr:uid="{00000000-0005-0000-0000-000038000000}"/>
    <cellStyle name="Style 1" xfId="11" xr:uid="{00000000-0005-0000-0000-000039000000}"/>
  </cellStyles>
  <dxfs count="0"/>
  <tableStyles count="0" defaultTableStyle="TableStyleMedium9" defaultPivotStyle="PivotStyleLight16"/>
  <colors>
    <mruColors>
      <color rgb="FF00496A"/>
      <color rgb="FF4A4C4C"/>
      <color rgb="FF013554"/>
      <color rgb="FF001521"/>
      <color rgb="FF00A6A5"/>
      <color rgb="FF00C8C3"/>
      <color rgb="FF00A8A4"/>
      <color rgb="FF00DED9"/>
      <color rgb="FF00BCB8"/>
      <color rgb="FF00DA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457200</xdr:colOff>
      <xdr:row>1</xdr:row>
      <xdr:rowOff>0</xdr:rowOff>
    </xdr:from>
    <xdr:ext cx="184731" cy="27408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200275" y="207645"/>
          <a:ext cx="184150" cy="2736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4731" cy="274085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743075" y="207645"/>
          <a:ext cx="184150" cy="2736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Integral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Integral">
      <a:majorFont>
        <a:latin typeface="Tw Cen MT Condensed"/>
        <a:ea typeface=""/>
        <a:cs typeface=""/>
        <a:font script="Grek" typeface="Calibri"/>
        <a:font script="Cyrl" typeface="Calibri"/>
        <a:font script="Jpan" typeface="メイリオ"/>
        <a:font script="Hang" typeface="HY얕은샘물M"/>
        <a:font script="Hans" typeface="华文仿宋"/>
        <a:font script="Hant" typeface="微軟正黑體"/>
        <a:font script="Arab" typeface="Arial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Tw Cen MT"/>
        <a:ea typeface=""/>
        <a:cs typeface=""/>
        <a:font script="Grek" typeface="Calibri"/>
        <a:font script="Cyrl" typeface="Calibri"/>
        <a:font script="Jpan" typeface="メイリオ"/>
        <a:font script="Hang" typeface="HY얕은샘물M"/>
        <a:font script="Hans" typeface="华文仿宋"/>
        <a:font script="Hant" typeface="微軟正黑體"/>
        <a:font script="Arab" typeface="Arial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Integral">
      <a:fillStyleLst>
        <a:solidFill>
          <a:schemeClr val="phClr"/>
        </a:solidFill>
        <a:gradFill rotWithShape="1">
          <a:gsLst>
            <a:gs pos="0">
              <a:schemeClr val="phClr">
                <a:tint val="83000"/>
                <a:satMod val="100000"/>
                <a:lumMod val="100000"/>
              </a:schemeClr>
            </a:gs>
            <a:gs pos="100000">
              <a:schemeClr val="phClr">
                <a:tint val="61000"/>
                <a:satMod val="150000"/>
                <a:lumMod val="100000"/>
              </a:schemeClr>
            </a:gs>
          </a:gsLst>
          <a:path path="circle">
            <a:fillToRect l="100000" t="100000" r="100000" b="100000"/>
          </a:path>
        </a:gradFill>
        <a:gradFill rotWithShape="1">
          <a:gsLst>
            <a:gs pos="0">
              <a:schemeClr val="phClr">
                <a:tint val="100000"/>
                <a:shade val="85000"/>
                <a:satMod val="100000"/>
                <a:lumMod val="100000"/>
              </a:schemeClr>
            </a:gs>
            <a:gs pos="100000">
              <a:schemeClr val="phClr">
                <a:tint val="90000"/>
                <a:shade val="100000"/>
                <a:satMod val="150000"/>
                <a:lumMod val="10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12700" dir="5400000" algn="ctr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76200" dist="25400" dir="5400000" algn="ctr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flat" dir="t">
              <a:rot lat="0" lon="0" rev="3600000"/>
            </a:lightRig>
          </a:scene3d>
          <a:sp3d contourW="12700" prstMaterial="flat">
            <a:bevelT w="38100" h="44450" prst="angle"/>
            <a:contourClr>
              <a:schemeClr val="phClr">
                <a:shade val="35000"/>
                <a:satMod val="160000"/>
              </a:schemeClr>
            </a:contourClr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hade val="85000"/>
            <a:satMod val="125000"/>
          </a:schemeClr>
        </a:solidFill>
        <a:blipFill rotWithShape="1">
          <a:tile tx="0" ty="0" sx="40000" sy="40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  <pageSetUpPr fitToPage="1"/>
  </sheetPr>
  <dimension ref="A1:AJ346"/>
  <sheetViews>
    <sheetView showGridLines="0" tabSelected="1" topLeftCell="A2" zoomScale="55" zoomScaleNormal="55" zoomScaleSheetLayoutView="85" workbookViewId="0">
      <pane ySplit="5" topLeftCell="A215" activePane="bottomLeft" state="frozen"/>
      <selection pane="bottomLeft" activeCell="D3" sqref="D3"/>
    </sheetView>
  </sheetViews>
  <sheetFormatPr defaultColWidth="9" defaultRowHeight="15.6"/>
  <cols>
    <col min="1" max="1" width="4.09765625" style="33" customWidth="1"/>
    <col min="2" max="2" width="9.19921875" style="33" customWidth="1"/>
    <col min="3" max="3" width="9.5" style="33" customWidth="1"/>
    <col min="4" max="4" width="68.8984375" style="33" customWidth="1"/>
    <col min="5" max="6" width="11.5" style="34" customWidth="1"/>
    <col min="7" max="7" width="14" style="34" customWidth="1"/>
    <col min="8" max="8" width="10.5" style="33" customWidth="1"/>
    <col min="9" max="10" width="14" style="34" customWidth="1"/>
    <col min="11" max="12" width="12.5" style="33" customWidth="1"/>
    <col min="13" max="13" width="14.5" style="33" customWidth="1"/>
    <col min="14" max="14" width="19.09765625" style="33" customWidth="1"/>
    <col min="15" max="15" width="14.59765625" style="33" customWidth="1"/>
    <col min="16" max="16" width="12.5" style="33" customWidth="1"/>
    <col min="17" max="17" width="15.19921875" style="35" customWidth="1"/>
    <col min="18" max="18" width="11.5" style="33"/>
    <col min="19" max="16384" width="9" style="33"/>
  </cols>
  <sheetData>
    <row r="1" spans="1:18" s="29" customFormat="1">
      <c r="A1" s="36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</row>
    <row r="2" spans="1:18" ht="18">
      <c r="A2" s="197" t="s">
        <v>0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9"/>
    </row>
    <row r="3" spans="1:18" ht="18">
      <c r="A3" s="38"/>
      <c r="B3" s="200" t="s">
        <v>1</v>
      </c>
      <c r="C3" s="200"/>
      <c r="D3" s="33" t="s">
        <v>334</v>
      </c>
      <c r="E3" s="39"/>
      <c r="F3" s="39"/>
      <c r="G3" s="40"/>
      <c r="H3" s="40"/>
      <c r="I3" s="40"/>
      <c r="J3" s="40"/>
      <c r="K3" s="40"/>
      <c r="L3" s="40"/>
      <c r="M3" s="40"/>
      <c r="N3" s="40"/>
      <c r="O3" s="99"/>
      <c r="P3" s="100"/>
      <c r="Q3" s="122"/>
    </row>
    <row r="4" spans="1:18" ht="18">
      <c r="A4" s="38"/>
      <c r="B4" s="201" t="s">
        <v>2</v>
      </c>
      <c r="C4" s="201"/>
      <c r="D4" s="33" t="s">
        <v>333</v>
      </c>
      <c r="E4" s="41"/>
      <c r="F4" s="41"/>
      <c r="G4" s="41"/>
      <c r="H4" s="42"/>
      <c r="I4" s="41"/>
      <c r="J4" s="41"/>
      <c r="K4" s="40"/>
      <c r="L4" s="40"/>
      <c r="M4" s="40"/>
      <c r="N4" s="40"/>
      <c r="O4" s="99"/>
      <c r="P4" s="100"/>
      <c r="Q4" s="122"/>
    </row>
    <row r="5" spans="1:18" ht="18">
      <c r="A5" s="38"/>
      <c r="B5" s="202" t="s">
        <v>3</v>
      </c>
      <c r="C5" s="202"/>
      <c r="D5" s="33" t="s">
        <v>4</v>
      </c>
      <c r="E5" s="43"/>
      <c r="F5" s="41"/>
      <c r="G5" s="41"/>
      <c r="H5" s="43"/>
      <c r="I5" s="41"/>
      <c r="J5" s="41"/>
      <c r="K5" s="101"/>
      <c r="L5" s="101"/>
      <c r="M5" s="101"/>
      <c r="N5" s="101"/>
      <c r="O5" s="102"/>
      <c r="P5" s="103"/>
      <c r="Q5" s="122"/>
    </row>
    <row r="6" spans="1:18" s="29" customFormat="1" ht="46.8">
      <c r="A6" s="44" t="s">
        <v>5</v>
      </c>
      <c r="B6" s="45" t="s">
        <v>6</v>
      </c>
      <c r="C6" s="45" t="s">
        <v>7</v>
      </c>
      <c r="D6" s="46" t="s">
        <v>8</v>
      </c>
      <c r="E6" s="45" t="s">
        <v>9</v>
      </c>
      <c r="F6" s="45" t="s">
        <v>10</v>
      </c>
      <c r="G6" s="45" t="s">
        <v>11</v>
      </c>
      <c r="H6" s="45" t="s">
        <v>12</v>
      </c>
      <c r="I6" s="45" t="s">
        <v>13</v>
      </c>
      <c r="J6" s="45" t="s">
        <v>14</v>
      </c>
      <c r="K6" s="45" t="s">
        <v>15</v>
      </c>
      <c r="L6" s="45" t="s">
        <v>16</v>
      </c>
      <c r="M6" s="45" t="s">
        <v>17</v>
      </c>
      <c r="N6" s="45" t="s">
        <v>18</v>
      </c>
      <c r="O6" s="45" t="s">
        <v>19</v>
      </c>
      <c r="P6" s="45" t="s">
        <v>20</v>
      </c>
      <c r="Q6" s="123" t="s">
        <v>21</v>
      </c>
    </row>
    <row r="7" spans="1:18" s="30" customFormat="1">
      <c r="A7" s="47"/>
      <c r="B7" s="48"/>
      <c r="C7" s="49">
        <v>1</v>
      </c>
      <c r="D7" s="50" t="s">
        <v>22</v>
      </c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124"/>
    </row>
    <row r="8" spans="1:18">
      <c r="A8" s="51">
        <f>IF(F8&lt;&gt;"",1+MAX($A$2:A7),"")</f>
        <v>1</v>
      </c>
      <c r="B8" s="52"/>
      <c r="C8" s="52"/>
      <c r="D8" s="53" t="s">
        <v>23</v>
      </c>
      <c r="E8" s="54">
        <v>1</v>
      </c>
      <c r="F8" s="55">
        <v>0</v>
      </c>
      <c r="G8" s="56">
        <f t="shared" ref="G8:G14" si="0">(F8*E8)+E8</f>
        <v>1</v>
      </c>
      <c r="H8" s="54" t="s">
        <v>24</v>
      </c>
      <c r="I8" s="104">
        <v>0</v>
      </c>
      <c r="J8" s="105">
        <f t="shared" ref="J8:J14" si="1">+I8*G8</f>
        <v>0</v>
      </c>
      <c r="K8" s="106">
        <v>0</v>
      </c>
      <c r="L8" s="107">
        <f t="shared" ref="L8:L14" si="2">I8*K8</f>
        <v>0</v>
      </c>
      <c r="M8" s="107">
        <f t="shared" ref="M8:M14" si="3">K8*J8</f>
        <v>0</v>
      </c>
      <c r="N8" s="107">
        <v>0</v>
      </c>
      <c r="O8" s="107">
        <f t="shared" ref="O8:O14" si="4">N8*G8</f>
        <v>0</v>
      </c>
      <c r="P8" s="107">
        <f>(I8*K8)+N8</f>
        <v>0</v>
      </c>
      <c r="Q8" s="219">
        <v>117000</v>
      </c>
      <c r="R8" s="125"/>
    </row>
    <row r="9" spans="1:18">
      <c r="A9" s="57">
        <f>IF(F9&lt;&gt;"",1+MAX($A$2:A8),"")</f>
        <v>2</v>
      </c>
      <c r="B9" s="58"/>
      <c r="C9" s="58"/>
      <c r="D9" s="59" t="s">
        <v>25</v>
      </c>
      <c r="E9" s="60">
        <v>1</v>
      </c>
      <c r="F9" s="61">
        <v>0</v>
      </c>
      <c r="G9" s="62">
        <f t="shared" si="0"/>
        <v>1</v>
      </c>
      <c r="H9" s="60" t="s">
        <v>24</v>
      </c>
      <c r="I9" s="104">
        <v>0</v>
      </c>
      <c r="J9" s="105">
        <f t="shared" si="1"/>
        <v>0</v>
      </c>
      <c r="K9" s="106">
        <v>0</v>
      </c>
      <c r="L9" s="107">
        <f t="shared" si="2"/>
        <v>0</v>
      </c>
      <c r="M9" s="107">
        <f t="shared" si="3"/>
        <v>0</v>
      </c>
      <c r="N9" s="107">
        <v>0</v>
      </c>
      <c r="O9" s="107">
        <f t="shared" si="4"/>
        <v>0</v>
      </c>
      <c r="P9" s="107">
        <f t="shared" ref="P9:P14" si="5">(I9*K9)+N9</f>
        <v>0</v>
      </c>
      <c r="Q9" s="219"/>
      <c r="R9" s="125"/>
    </row>
    <row r="10" spans="1:18">
      <c r="A10" s="57">
        <f>IF(F10&lt;&gt;"",1+MAX($A$2:A9),"")</f>
        <v>3</v>
      </c>
      <c r="B10" s="58"/>
      <c r="C10" s="58"/>
      <c r="D10" s="59" t="s">
        <v>26</v>
      </c>
      <c r="E10" s="60">
        <v>1</v>
      </c>
      <c r="F10" s="61">
        <v>0</v>
      </c>
      <c r="G10" s="62">
        <f t="shared" si="0"/>
        <v>1</v>
      </c>
      <c r="H10" s="60" t="s">
        <v>24</v>
      </c>
      <c r="I10" s="104">
        <v>0</v>
      </c>
      <c r="J10" s="105">
        <f t="shared" si="1"/>
        <v>0</v>
      </c>
      <c r="K10" s="106">
        <v>0</v>
      </c>
      <c r="L10" s="107">
        <f t="shared" si="2"/>
        <v>0</v>
      </c>
      <c r="M10" s="107">
        <f t="shared" si="3"/>
        <v>0</v>
      </c>
      <c r="N10" s="107">
        <v>0</v>
      </c>
      <c r="O10" s="107">
        <f t="shared" si="4"/>
        <v>0</v>
      </c>
      <c r="P10" s="107">
        <f t="shared" si="5"/>
        <v>0</v>
      </c>
      <c r="Q10" s="219"/>
      <c r="R10" s="125"/>
    </row>
    <row r="11" spans="1:18">
      <c r="A11" s="57">
        <f>IF(F11&lt;&gt;"",1+MAX($A$2:A10),"")</f>
        <v>4</v>
      </c>
      <c r="B11" s="58"/>
      <c r="C11" s="58"/>
      <c r="D11" s="59" t="s">
        <v>27</v>
      </c>
      <c r="E11" s="60">
        <v>1</v>
      </c>
      <c r="F11" s="61">
        <v>0</v>
      </c>
      <c r="G11" s="62">
        <f t="shared" si="0"/>
        <v>1</v>
      </c>
      <c r="H11" s="60" t="s">
        <v>24</v>
      </c>
      <c r="I11" s="104">
        <v>0</v>
      </c>
      <c r="J11" s="105">
        <f t="shared" si="1"/>
        <v>0</v>
      </c>
      <c r="K11" s="106">
        <v>0</v>
      </c>
      <c r="L11" s="107">
        <f t="shared" si="2"/>
        <v>0</v>
      </c>
      <c r="M11" s="107">
        <f t="shared" si="3"/>
        <v>0</v>
      </c>
      <c r="N11" s="107">
        <v>0</v>
      </c>
      <c r="O11" s="107">
        <f t="shared" si="4"/>
        <v>0</v>
      </c>
      <c r="P11" s="107">
        <f t="shared" si="5"/>
        <v>0</v>
      </c>
      <c r="Q11" s="219"/>
      <c r="R11" s="125"/>
    </row>
    <row r="12" spans="1:18">
      <c r="A12" s="57">
        <f>IF(F12&lt;&gt;"",1+MAX($A$2:A11),"")</f>
        <v>5</v>
      </c>
      <c r="B12" s="58"/>
      <c r="C12" s="58"/>
      <c r="D12" s="59" t="s">
        <v>28</v>
      </c>
      <c r="E12" s="60">
        <v>1</v>
      </c>
      <c r="F12" s="61">
        <v>0</v>
      </c>
      <c r="G12" s="62">
        <f t="shared" si="0"/>
        <v>1</v>
      </c>
      <c r="H12" s="60" t="s">
        <v>24</v>
      </c>
      <c r="I12" s="104">
        <v>0</v>
      </c>
      <c r="J12" s="105">
        <f t="shared" si="1"/>
        <v>0</v>
      </c>
      <c r="K12" s="106">
        <v>0</v>
      </c>
      <c r="L12" s="107">
        <f t="shared" si="2"/>
        <v>0</v>
      </c>
      <c r="M12" s="107">
        <f t="shared" si="3"/>
        <v>0</v>
      </c>
      <c r="N12" s="107">
        <v>0</v>
      </c>
      <c r="O12" s="107">
        <f t="shared" si="4"/>
        <v>0</v>
      </c>
      <c r="P12" s="107">
        <f t="shared" si="5"/>
        <v>0</v>
      </c>
      <c r="Q12" s="219"/>
      <c r="R12" s="125"/>
    </row>
    <row r="13" spans="1:18">
      <c r="A13" s="57">
        <f>IF(F13&lt;&gt;"",1+MAX($A$2:A12),"")</f>
        <v>6</v>
      </c>
      <c r="B13" s="58"/>
      <c r="C13" s="58"/>
      <c r="D13" s="59" t="s">
        <v>29</v>
      </c>
      <c r="E13" s="60">
        <v>1</v>
      </c>
      <c r="F13" s="61">
        <v>0</v>
      </c>
      <c r="G13" s="62">
        <f t="shared" si="0"/>
        <v>1</v>
      </c>
      <c r="H13" s="60" t="s">
        <v>24</v>
      </c>
      <c r="I13" s="104">
        <v>0</v>
      </c>
      <c r="J13" s="105">
        <f t="shared" si="1"/>
        <v>0</v>
      </c>
      <c r="K13" s="106">
        <v>0</v>
      </c>
      <c r="L13" s="107">
        <f t="shared" si="2"/>
        <v>0</v>
      </c>
      <c r="M13" s="107">
        <f t="shared" si="3"/>
        <v>0</v>
      </c>
      <c r="N13" s="107">
        <v>0</v>
      </c>
      <c r="O13" s="107">
        <f t="shared" si="4"/>
        <v>0</v>
      </c>
      <c r="P13" s="107">
        <f t="shared" si="5"/>
        <v>0</v>
      </c>
      <c r="Q13" s="219"/>
      <c r="R13" s="125"/>
    </row>
    <row r="14" spans="1:18">
      <c r="A14" s="57">
        <f>IF(F14&lt;&gt;"",1+MAX($A$2:A13),"")</f>
        <v>7</v>
      </c>
      <c r="B14" s="58"/>
      <c r="C14" s="58"/>
      <c r="D14" s="63" t="s">
        <v>30</v>
      </c>
      <c r="E14" s="64">
        <v>1</v>
      </c>
      <c r="F14" s="65">
        <v>0</v>
      </c>
      <c r="G14" s="66">
        <f t="shared" si="0"/>
        <v>1</v>
      </c>
      <c r="H14" s="64" t="s">
        <v>24</v>
      </c>
      <c r="I14" s="108">
        <v>0</v>
      </c>
      <c r="J14" s="109">
        <f t="shared" si="1"/>
        <v>0</v>
      </c>
      <c r="K14" s="110">
        <v>0</v>
      </c>
      <c r="L14" s="111">
        <f t="shared" si="2"/>
        <v>0</v>
      </c>
      <c r="M14" s="111">
        <f t="shared" si="3"/>
        <v>0</v>
      </c>
      <c r="N14" s="111">
        <v>0</v>
      </c>
      <c r="O14" s="111">
        <f t="shared" si="4"/>
        <v>0</v>
      </c>
      <c r="P14" s="107">
        <f t="shared" si="5"/>
        <v>0</v>
      </c>
      <c r="Q14" s="219"/>
      <c r="R14" s="125"/>
    </row>
    <row r="15" spans="1:18" s="29" customFormat="1">
      <c r="A15" s="67" t="str">
        <f>IF(F15&lt;&gt;"",1+MAX($A$2:A14),"")</f>
        <v/>
      </c>
      <c r="B15" s="68"/>
      <c r="C15" s="69"/>
      <c r="D15" s="70" t="s">
        <v>31</v>
      </c>
      <c r="E15" s="71"/>
      <c r="F15" s="71"/>
      <c r="G15" s="71"/>
      <c r="H15" s="71"/>
      <c r="I15" s="71"/>
      <c r="J15" s="71"/>
      <c r="K15" s="112"/>
      <c r="L15" s="112"/>
      <c r="M15" s="112"/>
      <c r="N15" s="112"/>
      <c r="O15" s="112"/>
      <c r="P15" s="112"/>
      <c r="Q15" s="126">
        <f>SUM(Q8:Q14)</f>
        <v>117000</v>
      </c>
      <c r="R15" s="127"/>
    </row>
    <row r="16" spans="1:18" s="29" customFormat="1">
      <c r="A16" s="67" t="str">
        <f>IF(F16&lt;&gt;"",1+MAX($A$2:A15),"")</f>
        <v/>
      </c>
      <c r="B16" s="68"/>
      <c r="C16" s="68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128"/>
      <c r="R16" s="127"/>
    </row>
    <row r="17" spans="1:19" s="31" customFormat="1">
      <c r="A17" s="47" t="str">
        <f>IF(F17&lt;&gt;"",1+MAX($A$2:A16),"")</f>
        <v/>
      </c>
      <c r="B17" s="48"/>
      <c r="C17" s="48">
        <v>2</v>
      </c>
      <c r="D17" s="50" t="s">
        <v>32</v>
      </c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124"/>
      <c r="S17" s="129"/>
    </row>
    <row r="18" spans="1:19">
      <c r="A18" s="73" t="str">
        <f>IF(F18&lt;&gt;"",1+MAX($A$2:A17),"")</f>
        <v/>
      </c>
      <c r="B18" s="74"/>
      <c r="C18" s="75"/>
      <c r="D18" s="76" t="s">
        <v>33</v>
      </c>
      <c r="E18" s="77"/>
      <c r="F18" s="61"/>
      <c r="G18" s="62"/>
      <c r="H18" s="62"/>
      <c r="I18" s="62"/>
      <c r="J18" s="62"/>
      <c r="K18" s="113"/>
      <c r="L18" s="113"/>
      <c r="M18" s="113"/>
      <c r="N18" s="113"/>
      <c r="O18" s="113"/>
      <c r="P18" s="113"/>
      <c r="Q18" s="130"/>
      <c r="R18" s="125"/>
    </row>
    <row r="19" spans="1:19">
      <c r="A19" s="51">
        <f>IF(F19&lt;&gt;"",1+MAX($A$2:A18),"")</f>
        <v>8</v>
      </c>
      <c r="B19" s="207" t="s">
        <v>34</v>
      </c>
      <c r="C19" s="52"/>
      <c r="D19" s="78" t="s">
        <v>35</v>
      </c>
      <c r="E19" s="60">
        <v>955</v>
      </c>
      <c r="F19" s="55">
        <v>0</v>
      </c>
      <c r="G19" s="56">
        <f t="shared" ref="G19:G24" si="6">(F19*E19)+E19</f>
        <v>955</v>
      </c>
      <c r="H19" s="60" t="s">
        <v>36</v>
      </c>
      <c r="I19" s="104">
        <v>2.8000000000000001E-2</v>
      </c>
      <c r="J19" s="105">
        <f t="shared" ref="J19:J24" si="7">+I19*G19</f>
        <v>26.74</v>
      </c>
      <c r="K19" s="106">
        <f>'LABOR SHEET'!$C$5</f>
        <v>45</v>
      </c>
      <c r="L19" s="107">
        <f>I19*K19</f>
        <v>1.26</v>
      </c>
      <c r="M19" s="107">
        <f t="shared" ref="M19:M24" si="8">K19*J19</f>
        <v>1203.3</v>
      </c>
      <c r="N19" s="107">
        <v>0</v>
      </c>
      <c r="O19" s="107">
        <f t="shared" ref="O19:O24" si="9">N19*G19</f>
        <v>0</v>
      </c>
      <c r="P19" s="107">
        <f t="shared" ref="P19:P24" si="10">(I19*K19)+N19</f>
        <v>1.26</v>
      </c>
      <c r="Q19" s="131">
        <f t="shared" ref="Q19:Q24" si="11">P19*G19</f>
        <v>1203.3</v>
      </c>
      <c r="R19" s="125"/>
    </row>
    <row r="20" spans="1:19">
      <c r="A20" s="51">
        <f>IF(F20&lt;&gt;"",1+MAX($A$2:A19),"")</f>
        <v>9</v>
      </c>
      <c r="B20" s="208"/>
      <c r="C20" s="58"/>
      <c r="D20" s="78" t="s">
        <v>37</v>
      </c>
      <c r="E20" s="60">
        <v>355</v>
      </c>
      <c r="F20" s="61">
        <v>0</v>
      </c>
      <c r="G20" s="56">
        <f t="shared" si="6"/>
        <v>355</v>
      </c>
      <c r="H20" s="60" t="s">
        <v>38</v>
      </c>
      <c r="I20" s="104">
        <v>0.122</v>
      </c>
      <c r="J20" s="105">
        <f t="shared" si="7"/>
        <v>43.31</v>
      </c>
      <c r="K20" s="106">
        <f>'LABOR SHEET'!$C$5</f>
        <v>45</v>
      </c>
      <c r="L20" s="107">
        <f t="shared" ref="L20:L24" si="12">I20*K20</f>
        <v>5.49</v>
      </c>
      <c r="M20" s="107">
        <f t="shared" si="8"/>
        <v>1948.95</v>
      </c>
      <c r="N20" s="107">
        <v>0</v>
      </c>
      <c r="O20" s="107">
        <f t="shared" si="9"/>
        <v>0</v>
      </c>
      <c r="P20" s="107">
        <f t="shared" si="10"/>
        <v>5.49</v>
      </c>
      <c r="Q20" s="131">
        <f t="shared" si="11"/>
        <v>1948.95</v>
      </c>
      <c r="R20" s="125"/>
    </row>
    <row r="21" spans="1:19">
      <c r="A21" s="57">
        <f>IF(F21&lt;&gt;"",1+MAX($A$2:A20),"")</f>
        <v>10</v>
      </c>
      <c r="B21" s="208"/>
      <c r="C21" s="58"/>
      <c r="D21" s="78" t="s">
        <v>39</v>
      </c>
      <c r="E21" s="60">
        <v>675</v>
      </c>
      <c r="F21" s="55">
        <v>0</v>
      </c>
      <c r="G21" s="56">
        <f t="shared" si="6"/>
        <v>675</v>
      </c>
      <c r="H21" s="60" t="s">
        <v>36</v>
      </c>
      <c r="I21" s="104">
        <v>2.4E-2</v>
      </c>
      <c r="J21" s="105">
        <f t="shared" si="7"/>
        <v>16.2</v>
      </c>
      <c r="K21" s="106">
        <f>'LABOR SHEET'!$C$5</f>
        <v>45</v>
      </c>
      <c r="L21" s="107">
        <f t="shared" si="12"/>
        <v>1.08</v>
      </c>
      <c r="M21" s="107">
        <f t="shared" si="8"/>
        <v>729</v>
      </c>
      <c r="N21" s="107">
        <v>0</v>
      </c>
      <c r="O21" s="107">
        <f t="shared" si="9"/>
        <v>0</v>
      </c>
      <c r="P21" s="107">
        <f t="shared" si="10"/>
        <v>1.08</v>
      </c>
      <c r="Q21" s="131">
        <f t="shared" si="11"/>
        <v>729</v>
      </c>
      <c r="R21" s="125"/>
    </row>
    <row r="22" spans="1:19">
      <c r="A22" s="57">
        <f>IF(F22&lt;&gt;"",1+MAX($A$2:A21),"")</f>
        <v>11</v>
      </c>
      <c r="B22" s="208"/>
      <c r="C22" s="58"/>
      <c r="D22" s="78" t="s">
        <v>40</v>
      </c>
      <c r="E22" s="60">
        <v>636</v>
      </c>
      <c r="F22" s="61">
        <v>0</v>
      </c>
      <c r="G22" s="56">
        <f t="shared" si="6"/>
        <v>636</v>
      </c>
      <c r="H22" s="60" t="s">
        <v>38</v>
      </c>
      <c r="I22" s="104">
        <v>0.1</v>
      </c>
      <c r="J22" s="105">
        <f t="shared" si="7"/>
        <v>63.6</v>
      </c>
      <c r="K22" s="106">
        <f>'LABOR SHEET'!$C$5</f>
        <v>45</v>
      </c>
      <c r="L22" s="107">
        <f t="shared" si="12"/>
        <v>4.5</v>
      </c>
      <c r="M22" s="107">
        <f t="shared" si="8"/>
        <v>2862</v>
      </c>
      <c r="N22" s="107">
        <v>0</v>
      </c>
      <c r="O22" s="107">
        <f t="shared" si="9"/>
        <v>0</v>
      </c>
      <c r="P22" s="107">
        <f t="shared" si="10"/>
        <v>4.5</v>
      </c>
      <c r="Q22" s="131">
        <f t="shared" si="11"/>
        <v>2862</v>
      </c>
      <c r="R22" s="125"/>
    </row>
    <row r="23" spans="1:19">
      <c r="A23" s="57">
        <f>IF(F23&lt;&gt;"",1+MAX($A$2:A22),"")</f>
        <v>12</v>
      </c>
      <c r="B23" s="208"/>
      <c r="C23" s="58"/>
      <c r="D23" s="78" t="s">
        <v>41</v>
      </c>
      <c r="E23" s="60">
        <v>7205</v>
      </c>
      <c r="F23" s="55">
        <v>0</v>
      </c>
      <c r="G23" s="56">
        <f t="shared" si="6"/>
        <v>7205</v>
      </c>
      <c r="H23" s="60" t="s">
        <v>36</v>
      </c>
      <c r="I23" s="104">
        <v>2.8000000000000001E-2</v>
      </c>
      <c r="J23" s="105">
        <f t="shared" si="7"/>
        <v>201.74</v>
      </c>
      <c r="K23" s="106">
        <f>'LABOR SHEET'!$C$5</f>
        <v>45</v>
      </c>
      <c r="L23" s="107">
        <f t="shared" si="12"/>
        <v>1.26</v>
      </c>
      <c r="M23" s="107">
        <f t="shared" si="8"/>
        <v>9078.2999999999993</v>
      </c>
      <c r="N23" s="107">
        <v>0</v>
      </c>
      <c r="O23" s="107">
        <f t="shared" si="9"/>
        <v>0</v>
      </c>
      <c r="P23" s="107">
        <f t="shared" si="10"/>
        <v>1.26</v>
      </c>
      <c r="Q23" s="131">
        <f t="shared" si="11"/>
        <v>9078.2999999999993</v>
      </c>
      <c r="R23" s="125"/>
    </row>
    <row r="24" spans="1:19">
      <c r="A24" s="57">
        <f>IF(F24&lt;&gt;"",1+MAX($A$2:A23),"")</f>
        <v>13</v>
      </c>
      <c r="B24" s="208"/>
      <c r="C24" s="58"/>
      <c r="D24" s="78" t="s">
        <v>42</v>
      </c>
      <c r="E24" s="60">
        <v>49</v>
      </c>
      <c r="F24" s="61">
        <v>0</v>
      </c>
      <c r="G24" s="56">
        <f t="shared" si="6"/>
        <v>49</v>
      </c>
      <c r="H24" s="60" t="s">
        <v>38</v>
      </c>
      <c r="I24" s="104">
        <v>4.4999999999999998E-2</v>
      </c>
      <c r="J24" s="105">
        <f t="shared" si="7"/>
        <v>2.2050000000000001</v>
      </c>
      <c r="K24" s="106">
        <f>'LABOR SHEET'!$C$5</f>
        <v>45</v>
      </c>
      <c r="L24" s="107">
        <f t="shared" si="12"/>
        <v>2.0249999999999999</v>
      </c>
      <c r="M24" s="107">
        <f t="shared" si="8"/>
        <v>99.224999999999994</v>
      </c>
      <c r="N24" s="107">
        <v>0</v>
      </c>
      <c r="O24" s="107">
        <f t="shared" si="9"/>
        <v>0</v>
      </c>
      <c r="P24" s="107">
        <f t="shared" si="10"/>
        <v>2.0249999999999999</v>
      </c>
      <c r="Q24" s="131">
        <f t="shared" si="11"/>
        <v>99.224999999999994</v>
      </c>
      <c r="R24" s="125"/>
    </row>
    <row r="25" spans="1:19">
      <c r="A25" s="57"/>
      <c r="B25" s="208"/>
      <c r="C25" s="79"/>
      <c r="D25" s="78"/>
      <c r="E25" s="60"/>
      <c r="F25" s="61"/>
      <c r="G25" s="56"/>
      <c r="H25" s="60"/>
      <c r="I25" s="104"/>
      <c r="J25" s="105"/>
      <c r="K25" s="106"/>
      <c r="L25" s="107"/>
      <c r="M25" s="107"/>
      <c r="N25" s="107"/>
      <c r="O25" s="107"/>
      <c r="P25" s="107"/>
      <c r="Q25" s="131"/>
      <c r="R25" s="125"/>
    </row>
    <row r="26" spans="1:19">
      <c r="A26" s="73" t="str">
        <f>IF(F26&lt;&gt;"",1+MAX($A$2:A24),"")</f>
        <v/>
      </c>
      <c r="B26" s="208"/>
      <c r="C26" s="75"/>
      <c r="D26" s="76" t="s">
        <v>43</v>
      </c>
      <c r="E26" s="60"/>
      <c r="F26" s="61"/>
      <c r="G26" s="56"/>
      <c r="H26" s="62"/>
      <c r="I26" s="62"/>
      <c r="J26" s="62"/>
      <c r="K26" s="113"/>
      <c r="L26" s="113"/>
      <c r="M26" s="107">
        <f t="shared" ref="M26:M34" si="13">K26*J26</f>
        <v>0</v>
      </c>
      <c r="N26" s="113"/>
      <c r="O26" s="113"/>
      <c r="P26" s="113"/>
      <c r="Q26" s="132"/>
      <c r="R26" s="125"/>
    </row>
    <row r="27" spans="1:19">
      <c r="A27" s="51">
        <f>IF(F27&lt;&gt;"",1+MAX($A$2:A26),"")</f>
        <v>14</v>
      </c>
      <c r="B27" s="208"/>
      <c r="C27" s="52"/>
      <c r="D27" s="78" t="s">
        <v>44</v>
      </c>
      <c r="E27" s="60">
        <f>44*2</f>
        <v>88</v>
      </c>
      <c r="F27" s="55">
        <v>0</v>
      </c>
      <c r="G27" s="56">
        <f t="shared" ref="G27:G32" si="14">(F27*E27)+E27</f>
        <v>88</v>
      </c>
      <c r="H27" s="60" t="s">
        <v>45</v>
      </c>
      <c r="I27" s="104">
        <v>2.85</v>
      </c>
      <c r="J27" s="105">
        <f t="shared" ref="J27:J32" si="15">+I27*G27</f>
        <v>250.8</v>
      </c>
      <c r="K27" s="106">
        <f>'LABOR SHEET'!$C$5</f>
        <v>45</v>
      </c>
      <c r="L27" s="107">
        <f t="shared" ref="L27:L32" si="16">I27*K27</f>
        <v>128.25</v>
      </c>
      <c r="M27" s="107">
        <f t="shared" si="13"/>
        <v>11286</v>
      </c>
      <c r="N27" s="107">
        <v>0</v>
      </c>
      <c r="O27" s="107">
        <f t="shared" ref="O27:O32" si="17">N27*G27</f>
        <v>0</v>
      </c>
      <c r="P27" s="107">
        <f t="shared" ref="P27:P32" si="18">(I27*K27)+N27</f>
        <v>128.25</v>
      </c>
      <c r="Q27" s="131">
        <f t="shared" ref="Q27:Q32" si="19">P27*G27</f>
        <v>11286</v>
      </c>
      <c r="R27" s="125"/>
    </row>
    <row r="28" spans="1:19">
      <c r="A28" s="57">
        <f>IF(F28&lt;&gt;"",1+MAX($A$2:A27),"")</f>
        <v>15</v>
      </c>
      <c r="B28" s="208"/>
      <c r="C28" s="58"/>
      <c r="D28" s="78" t="s">
        <v>44</v>
      </c>
      <c r="E28" s="60">
        <v>41</v>
      </c>
      <c r="F28" s="61">
        <v>0</v>
      </c>
      <c r="G28" s="56">
        <f t="shared" si="14"/>
        <v>41</v>
      </c>
      <c r="H28" s="60" t="s">
        <v>45</v>
      </c>
      <c r="I28" s="104">
        <v>2.85</v>
      </c>
      <c r="J28" s="105">
        <f t="shared" si="15"/>
        <v>116.85</v>
      </c>
      <c r="K28" s="106">
        <f>'LABOR SHEET'!$C$5</f>
        <v>45</v>
      </c>
      <c r="L28" s="107">
        <f t="shared" si="16"/>
        <v>128.25</v>
      </c>
      <c r="M28" s="107">
        <f t="shared" si="13"/>
        <v>5258.25</v>
      </c>
      <c r="N28" s="107">
        <v>0</v>
      </c>
      <c r="O28" s="107">
        <f t="shared" si="17"/>
        <v>0</v>
      </c>
      <c r="P28" s="107">
        <f t="shared" si="18"/>
        <v>128.25</v>
      </c>
      <c r="Q28" s="131">
        <f t="shared" si="19"/>
        <v>5258.25</v>
      </c>
      <c r="R28" s="125"/>
    </row>
    <row r="29" spans="1:19">
      <c r="A29" s="57">
        <f>IF(F29&lt;&gt;"",1+MAX($A$2:A28),"")</f>
        <v>16</v>
      </c>
      <c r="B29" s="208"/>
      <c r="C29" s="58"/>
      <c r="D29" s="78" t="s">
        <v>44</v>
      </c>
      <c r="E29" s="60">
        <v>53</v>
      </c>
      <c r="F29" s="61">
        <v>0</v>
      </c>
      <c r="G29" s="56">
        <f t="shared" si="14"/>
        <v>53</v>
      </c>
      <c r="H29" s="60" t="s">
        <v>45</v>
      </c>
      <c r="I29" s="104">
        <v>2.85</v>
      </c>
      <c r="J29" s="105">
        <f t="shared" si="15"/>
        <v>151.05000000000001</v>
      </c>
      <c r="K29" s="106">
        <f>'LABOR SHEET'!$C$5</f>
        <v>45</v>
      </c>
      <c r="L29" s="107">
        <f t="shared" si="16"/>
        <v>128.25</v>
      </c>
      <c r="M29" s="107">
        <f t="shared" si="13"/>
        <v>6797.25</v>
      </c>
      <c r="N29" s="107">
        <v>0</v>
      </c>
      <c r="O29" s="107">
        <f t="shared" si="17"/>
        <v>0</v>
      </c>
      <c r="P29" s="107">
        <f t="shared" si="18"/>
        <v>128.25</v>
      </c>
      <c r="Q29" s="131">
        <f t="shared" si="19"/>
        <v>6797.25</v>
      </c>
      <c r="R29" s="125"/>
    </row>
    <row r="30" spans="1:19">
      <c r="A30" s="57">
        <f>IF(F30&lt;&gt;"",1+MAX($A$2:A29),"")</f>
        <v>17</v>
      </c>
      <c r="B30" s="208"/>
      <c r="C30" s="58"/>
      <c r="D30" s="78" t="s">
        <v>44</v>
      </c>
      <c r="E30" s="60">
        <v>50</v>
      </c>
      <c r="F30" s="61">
        <v>0</v>
      </c>
      <c r="G30" s="56">
        <f t="shared" si="14"/>
        <v>50</v>
      </c>
      <c r="H30" s="60" t="s">
        <v>45</v>
      </c>
      <c r="I30" s="104">
        <v>2.85</v>
      </c>
      <c r="J30" s="105">
        <f t="shared" si="15"/>
        <v>142.5</v>
      </c>
      <c r="K30" s="106">
        <f>'LABOR SHEET'!$C$5</f>
        <v>45</v>
      </c>
      <c r="L30" s="107">
        <f t="shared" si="16"/>
        <v>128.25</v>
      </c>
      <c r="M30" s="107">
        <f t="shared" si="13"/>
        <v>6412.5</v>
      </c>
      <c r="N30" s="107">
        <v>0</v>
      </c>
      <c r="O30" s="107">
        <f t="shared" si="17"/>
        <v>0</v>
      </c>
      <c r="P30" s="107">
        <f t="shared" si="18"/>
        <v>128.25</v>
      </c>
      <c r="Q30" s="131">
        <f t="shared" si="19"/>
        <v>6412.5</v>
      </c>
      <c r="R30" s="125"/>
    </row>
    <row r="31" spans="1:19">
      <c r="A31" s="57">
        <f>IF(F31&lt;&gt;"",1+MAX($A$2:A30),"")</f>
        <v>18</v>
      </c>
      <c r="B31" s="208"/>
      <c r="C31" s="58"/>
      <c r="D31" s="78" t="s">
        <v>44</v>
      </c>
      <c r="E31" s="60">
        <v>49</v>
      </c>
      <c r="F31" s="61">
        <v>0</v>
      </c>
      <c r="G31" s="56">
        <f t="shared" si="14"/>
        <v>49</v>
      </c>
      <c r="H31" s="60" t="s">
        <v>45</v>
      </c>
      <c r="I31" s="104">
        <v>2.85</v>
      </c>
      <c r="J31" s="105">
        <f t="shared" si="15"/>
        <v>139.65</v>
      </c>
      <c r="K31" s="106">
        <f>'LABOR SHEET'!$C$5</f>
        <v>45</v>
      </c>
      <c r="L31" s="107">
        <f t="shared" si="16"/>
        <v>128.25</v>
      </c>
      <c r="M31" s="107">
        <f t="shared" si="13"/>
        <v>6284.25</v>
      </c>
      <c r="N31" s="107">
        <v>0</v>
      </c>
      <c r="O31" s="107">
        <f t="shared" si="17"/>
        <v>0</v>
      </c>
      <c r="P31" s="107">
        <f t="shared" si="18"/>
        <v>128.25</v>
      </c>
      <c r="Q31" s="131">
        <f t="shared" si="19"/>
        <v>6284.25</v>
      </c>
      <c r="R31" s="125"/>
    </row>
    <row r="32" spans="1:19">
      <c r="A32" s="57">
        <f>IF(F32&lt;&gt;"",1+MAX($A$2:A31),"")</f>
        <v>19</v>
      </c>
      <c r="B32" s="208"/>
      <c r="C32" s="58"/>
      <c r="D32" s="78" t="s">
        <v>44</v>
      </c>
      <c r="E32" s="60">
        <v>61</v>
      </c>
      <c r="F32" s="61">
        <v>0</v>
      </c>
      <c r="G32" s="56">
        <f t="shared" si="14"/>
        <v>61</v>
      </c>
      <c r="H32" s="60" t="s">
        <v>45</v>
      </c>
      <c r="I32" s="104">
        <v>2.85</v>
      </c>
      <c r="J32" s="105">
        <f t="shared" si="15"/>
        <v>173.85</v>
      </c>
      <c r="K32" s="106">
        <f>'LABOR SHEET'!$C$5</f>
        <v>45</v>
      </c>
      <c r="L32" s="107">
        <f t="shared" si="16"/>
        <v>128.25</v>
      </c>
      <c r="M32" s="107">
        <f t="shared" si="13"/>
        <v>7823.25</v>
      </c>
      <c r="N32" s="107">
        <v>0</v>
      </c>
      <c r="O32" s="107">
        <f t="shared" si="17"/>
        <v>0</v>
      </c>
      <c r="P32" s="107">
        <f t="shared" si="18"/>
        <v>128.25</v>
      </c>
      <c r="Q32" s="131">
        <f t="shared" si="19"/>
        <v>7823.25</v>
      </c>
      <c r="R32" s="125"/>
    </row>
    <row r="33" spans="1:36">
      <c r="A33" s="51">
        <f>IF(F33&lt;&gt;"",1+MAX($A$2:A32),"")</f>
        <v>20</v>
      </c>
      <c r="B33" s="208"/>
      <c r="C33" s="52"/>
      <c r="D33" s="80" t="s">
        <v>44</v>
      </c>
      <c r="E33" s="60">
        <f>90+1401</f>
        <v>1491</v>
      </c>
      <c r="F33" s="55">
        <v>0</v>
      </c>
      <c r="G33" s="56">
        <f t="shared" ref="G33:G34" si="20">(F33*E33)+E33</f>
        <v>1491</v>
      </c>
      <c r="H33" s="60" t="s">
        <v>45</v>
      </c>
      <c r="I33" s="104">
        <v>2.85</v>
      </c>
      <c r="J33" s="105">
        <f t="shared" ref="J33:J34" si="21">+I33*G33</f>
        <v>4249.3500000000004</v>
      </c>
      <c r="K33" s="106">
        <f>'LABOR SHEET'!$C$5</f>
        <v>45</v>
      </c>
      <c r="L33" s="107">
        <f t="shared" ref="L33:L34" si="22">I33*K33</f>
        <v>128.25</v>
      </c>
      <c r="M33" s="107">
        <f t="shared" si="13"/>
        <v>191220.75</v>
      </c>
      <c r="N33" s="107">
        <v>0</v>
      </c>
      <c r="O33" s="107">
        <f t="shared" ref="O33:O34" si="23">N33*G33</f>
        <v>0</v>
      </c>
      <c r="P33" s="107">
        <f t="shared" ref="P33:P34" si="24">(I33*K33)+N33</f>
        <v>128.25</v>
      </c>
      <c r="Q33" s="131">
        <f t="shared" ref="Q33:Q34" si="25">P33*G33</f>
        <v>191220.75</v>
      </c>
      <c r="R33" s="125"/>
    </row>
    <row r="34" spans="1:36">
      <c r="A34" s="57">
        <f>IF(F34&lt;&gt;"",1+MAX($A$2:A33),"")</f>
        <v>21</v>
      </c>
      <c r="B34" s="209"/>
      <c r="C34" s="58"/>
      <c r="D34" s="78" t="s">
        <v>46</v>
      </c>
      <c r="E34" s="60">
        <v>50</v>
      </c>
      <c r="F34" s="61">
        <v>0</v>
      </c>
      <c r="G34" s="56">
        <f t="shared" si="20"/>
        <v>50</v>
      </c>
      <c r="H34" s="60" t="s">
        <v>45</v>
      </c>
      <c r="I34" s="104">
        <v>2.85</v>
      </c>
      <c r="J34" s="105">
        <f t="shared" si="21"/>
        <v>142.5</v>
      </c>
      <c r="K34" s="106">
        <f>'LABOR SHEET'!$C$5</f>
        <v>45</v>
      </c>
      <c r="L34" s="107">
        <f t="shared" si="22"/>
        <v>128.25</v>
      </c>
      <c r="M34" s="107">
        <f t="shared" si="13"/>
        <v>6412.5</v>
      </c>
      <c r="N34" s="107">
        <v>0</v>
      </c>
      <c r="O34" s="107">
        <f t="shared" si="23"/>
        <v>0</v>
      </c>
      <c r="P34" s="107">
        <f t="shared" si="24"/>
        <v>128.25</v>
      </c>
      <c r="Q34" s="131">
        <f t="shared" si="25"/>
        <v>6412.5</v>
      </c>
      <c r="R34" s="125"/>
    </row>
    <row r="35" spans="1:36">
      <c r="A35" s="82"/>
      <c r="B35" s="81"/>
      <c r="C35" s="58"/>
      <c r="D35" s="78"/>
      <c r="E35" s="60"/>
      <c r="F35" s="61"/>
      <c r="G35" s="56"/>
      <c r="H35" s="64"/>
      <c r="I35" s="108"/>
      <c r="J35" s="105"/>
      <c r="K35" s="106"/>
      <c r="L35" s="107"/>
      <c r="M35" s="107"/>
      <c r="N35" s="107"/>
      <c r="O35" s="107"/>
      <c r="P35" s="111"/>
      <c r="Q35" s="133"/>
      <c r="R35" s="125"/>
    </row>
    <row r="36" spans="1:36">
      <c r="A36" s="82">
        <f>IF(F36&lt;&gt;"",1+MAX($A$2:A34),"")</f>
        <v>22</v>
      </c>
      <c r="B36" s="74"/>
      <c r="C36" s="58"/>
      <c r="D36" s="59" t="s">
        <v>47</v>
      </c>
      <c r="E36" s="60">
        <v>1</v>
      </c>
      <c r="F36" s="61">
        <v>0</v>
      </c>
      <c r="G36" s="56">
        <f>(F36*E36)+E36</f>
        <v>1</v>
      </c>
      <c r="H36" s="60" t="s">
        <v>24</v>
      </c>
      <c r="I36" s="104">
        <v>0</v>
      </c>
      <c r="J36" s="105">
        <f>+I36*G36</f>
        <v>0</v>
      </c>
      <c r="K36" s="106">
        <f>'LABOR SHEET'!$C$5</f>
        <v>45</v>
      </c>
      <c r="L36" s="107">
        <f>I36*K36</f>
        <v>0</v>
      </c>
      <c r="M36" s="107">
        <f>K36*J36</f>
        <v>0</v>
      </c>
      <c r="N36" s="107">
        <f>1250*4</f>
        <v>5000</v>
      </c>
      <c r="O36" s="107">
        <f>N36*G36</f>
        <v>5000</v>
      </c>
      <c r="P36" s="107">
        <f>(I36*K36)+N36</f>
        <v>5000</v>
      </c>
      <c r="Q36" s="132">
        <f>P36*G36</f>
        <v>5000</v>
      </c>
      <c r="R36" s="125"/>
    </row>
    <row r="37" spans="1:36" s="29" customFormat="1">
      <c r="A37" s="67" t="str">
        <f>IF(F37&lt;&gt;"",1+MAX($A$2:A36),"")</f>
        <v/>
      </c>
      <c r="B37" s="83"/>
      <c r="C37" s="69"/>
      <c r="D37" s="70" t="s">
        <v>31</v>
      </c>
      <c r="E37" s="71"/>
      <c r="F37" s="71"/>
      <c r="G37" s="71"/>
      <c r="H37" s="71"/>
      <c r="I37" s="71"/>
      <c r="J37" s="114"/>
      <c r="K37" s="114"/>
      <c r="L37" s="114"/>
      <c r="M37" s="114"/>
      <c r="N37" s="114"/>
      <c r="O37" s="112"/>
      <c r="P37" s="112"/>
      <c r="Q37" s="134">
        <f>SUM(Q19:Q36)</f>
        <v>262415.52500000002</v>
      </c>
      <c r="R37" s="127"/>
    </row>
    <row r="38" spans="1:36" s="29" customFormat="1">
      <c r="A38" s="84" t="str">
        <f>IF(F38&lt;&gt;"",1+MAX($A$2:A37),"")</f>
        <v/>
      </c>
      <c r="B38" s="72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135"/>
      <c r="R38" s="127"/>
    </row>
    <row r="39" spans="1:36" s="31" customFormat="1">
      <c r="A39" s="47" t="str">
        <f>IF(F39&lt;&gt;"",1+MAX($A$2:A38),"")</f>
        <v/>
      </c>
      <c r="B39" s="48"/>
      <c r="C39" s="48">
        <v>31</v>
      </c>
      <c r="D39" s="50" t="s">
        <v>48</v>
      </c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136"/>
      <c r="S39" s="129"/>
    </row>
    <row r="40" spans="1:36" s="31" customFormat="1">
      <c r="A40" s="85" t="str">
        <f>IF(F40&lt;&gt;"",1+MAX($A$2:A39),"")</f>
        <v/>
      </c>
      <c r="B40" s="86"/>
      <c r="C40" s="62"/>
      <c r="D40" s="87" t="s">
        <v>49</v>
      </c>
      <c r="E40" s="60"/>
      <c r="F40" s="60"/>
      <c r="G40" s="60"/>
      <c r="H40" s="60"/>
      <c r="I40" s="115"/>
      <c r="J40" s="116"/>
      <c r="K40" s="117"/>
      <c r="L40" s="107"/>
      <c r="M40" s="107"/>
      <c r="N40" s="107"/>
      <c r="O40" s="107"/>
      <c r="P40" s="107"/>
      <c r="Q40" s="137"/>
      <c r="R40" s="138"/>
      <c r="S40" s="138"/>
      <c r="T40" s="138"/>
      <c r="U40" s="138"/>
      <c r="V40" s="138"/>
      <c r="W40" s="138"/>
      <c r="X40" s="138"/>
      <c r="Y40" s="138"/>
      <c r="Z40" s="138"/>
      <c r="AA40" s="138"/>
      <c r="AB40" s="138"/>
      <c r="AC40" s="138"/>
      <c r="AD40" s="138"/>
      <c r="AE40" s="138"/>
      <c r="AF40" s="138"/>
      <c r="AG40" s="138"/>
      <c r="AH40" s="138"/>
      <c r="AI40" s="138"/>
      <c r="AJ40" s="138"/>
    </row>
    <row r="41" spans="1:36" s="31" customFormat="1">
      <c r="A41" s="85">
        <f>IF(F41&lt;&gt;"",1+MAX($A$2:A40),"")</f>
        <v>23</v>
      </c>
      <c r="B41" s="210" t="s">
        <v>50</v>
      </c>
      <c r="C41" s="88"/>
      <c r="D41" s="78" t="s">
        <v>51</v>
      </c>
      <c r="E41" s="62">
        <v>1685.98</v>
      </c>
      <c r="F41" s="55">
        <v>0</v>
      </c>
      <c r="G41" s="89">
        <f t="shared" ref="G41:G43" si="26">E41*(1+F41)</f>
        <v>1685.98</v>
      </c>
      <c r="H41" s="60" t="s">
        <v>52</v>
      </c>
      <c r="I41" s="104">
        <v>0.22</v>
      </c>
      <c r="J41" s="105">
        <f t="shared" ref="J41:J43" si="27">+I41*G41</f>
        <v>370.91559999999998</v>
      </c>
      <c r="K41" s="106">
        <f>'LABOR SHEET'!$C$4</f>
        <v>45</v>
      </c>
      <c r="L41" s="107">
        <f t="shared" ref="L41:L43" si="28">I41*K41</f>
        <v>9.9</v>
      </c>
      <c r="M41" s="107">
        <f t="shared" ref="M41:M43" si="29">K41*J41</f>
        <v>16691.202000000001</v>
      </c>
      <c r="N41" s="107">
        <v>5</v>
      </c>
      <c r="O41" s="107">
        <f t="shared" ref="O41:O43" si="30">N41*G41</f>
        <v>8429.9</v>
      </c>
      <c r="P41" s="107">
        <f t="shared" ref="P41:P43" si="31">(I41*K41)+N41</f>
        <v>14.9</v>
      </c>
      <c r="Q41" s="131">
        <f t="shared" ref="Q41:Q43" si="32">P41*G41</f>
        <v>25121.101999999999</v>
      </c>
      <c r="R41" s="138"/>
      <c r="S41" s="138"/>
      <c r="T41" s="138"/>
      <c r="U41" s="138"/>
      <c r="V41" s="138"/>
      <c r="W41" s="138"/>
      <c r="X41" s="138"/>
      <c r="Y41" s="138"/>
      <c r="Z41" s="138"/>
      <c r="AA41" s="138"/>
      <c r="AB41" s="138"/>
      <c r="AC41" s="138"/>
      <c r="AD41" s="138"/>
      <c r="AE41" s="138"/>
      <c r="AF41" s="138"/>
      <c r="AG41" s="138"/>
      <c r="AH41" s="138"/>
      <c r="AI41" s="138"/>
      <c r="AJ41" s="138"/>
    </row>
    <row r="42" spans="1:36" s="31" customFormat="1">
      <c r="A42" s="85">
        <f>IF(F42&lt;&gt;"",1+MAX($A$2:A41),"")</f>
        <v>24</v>
      </c>
      <c r="B42" s="211"/>
      <c r="C42" s="88"/>
      <c r="D42" s="78" t="s">
        <v>53</v>
      </c>
      <c r="E42" s="62">
        <v>6718.51</v>
      </c>
      <c r="F42" s="55">
        <v>0</v>
      </c>
      <c r="G42" s="89">
        <f t="shared" si="26"/>
        <v>6718.51</v>
      </c>
      <c r="H42" s="60" t="s">
        <v>52</v>
      </c>
      <c r="I42" s="104">
        <v>0.2</v>
      </c>
      <c r="J42" s="105">
        <f t="shared" si="27"/>
        <v>1343.702</v>
      </c>
      <c r="K42" s="106">
        <f>'LABOR SHEET'!$C$4</f>
        <v>45</v>
      </c>
      <c r="L42" s="107">
        <f t="shared" si="28"/>
        <v>9</v>
      </c>
      <c r="M42" s="107">
        <f t="shared" si="29"/>
        <v>60466.59</v>
      </c>
      <c r="N42" s="107">
        <v>5</v>
      </c>
      <c r="O42" s="107">
        <f t="shared" si="30"/>
        <v>33592.550000000003</v>
      </c>
      <c r="P42" s="107">
        <f t="shared" si="31"/>
        <v>14</v>
      </c>
      <c r="Q42" s="131">
        <f t="shared" si="32"/>
        <v>94059.14</v>
      </c>
      <c r="R42" s="138"/>
      <c r="S42" s="138"/>
      <c r="T42" s="138"/>
      <c r="U42" s="138"/>
      <c r="V42" s="138"/>
      <c r="W42" s="138"/>
      <c r="X42" s="138"/>
      <c r="Y42" s="138"/>
      <c r="Z42" s="138"/>
      <c r="AA42" s="138"/>
      <c r="AB42" s="138"/>
      <c r="AC42" s="138"/>
      <c r="AD42" s="138"/>
      <c r="AE42" s="138"/>
      <c r="AF42" s="138"/>
      <c r="AG42" s="138"/>
      <c r="AH42" s="138"/>
      <c r="AI42" s="138"/>
      <c r="AJ42" s="138"/>
    </row>
    <row r="43" spans="1:36" s="31" customFormat="1">
      <c r="A43" s="85">
        <f>IF(F43&lt;&gt;"",1+MAX($A$2:A42),"")</f>
        <v>25</v>
      </c>
      <c r="B43" s="211"/>
      <c r="C43" s="88"/>
      <c r="D43" s="78" t="s">
        <v>54</v>
      </c>
      <c r="E43" s="62">
        <f>6718.51-1685.98-1475+704</f>
        <v>4261.53</v>
      </c>
      <c r="F43" s="55">
        <v>0</v>
      </c>
      <c r="G43" s="89">
        <f t="shared" si="26"/>
        <v>4261.53</v>
      </c>
      <c r="H43" s="60" t="s">
        <v>52</v>
      </c>
      <c r="I43" s="104">
        <v>0.44</v>
      </c>
      <c r="J43" s="105">
        <f t="shared" si="27"/>
        <v>1875.0732</v>
      </c>
      <c r="K43" s="106">
        <f>'LABOR SHEET'!$C$4</f>
        <v>45</v>
      </c>
      <c r="L43" s="107">
        <f t="shared" si="28"/>
        <v>19.8</v>
      </c>
      <c r="M43" s="107">
        <f t="shared" si="29"/>
        <v>84378.293999999994</v>
      </c>
      <c r="N43" s="107">
        <v>10</v>
      </c>
      <c r="O43" s="107">
        <f t="shared" si="30"/>
        <v>42615.3</v>
      </c>
      <c r="P43" s="107">
        <f t="shared" si="31"/>
        <v>29.8</v>
      </c>
      <c r="Q43" s="131">
        <f t="shared" si="32"/>
        <v>126993.594</v>
      </c>
      <c r="R43" s="138"/>
      <c r="S43" s="138"/>
      <c r="T43" s="138"/>
      <c r="U43" s="138"/>
      <c r="V43" s="138"/>
      <c r="W43" s="138"/>
      <c r="X43" s="138"/>
      <c r="Y43" s="138"/>
      <c r="Z43" s="138"/>
      <c r="AA43" s="138"/>
      <c r="AB43" s="138"/>
      <c r="AC43" s="138"/>
      <c r="AD43" s="138"/>
      <c r="AE43" s="138"/>
      <c r="AF43" s="138"/>
      <c r="AG43" s="138"/>
      <c r="AH43" s="138"/>
      <c r="AI43" s="138"/>
      <c r="AJ43" s="138"/>
    </row>
    <row r="44" spans="1:36" s="31" customFormat="1">
      <c r="A44" s="85" t="str">
        <f>IF(F44&lt;&gt;"",1+MAX($A$2:A43),"")</f>
        <v/>
      </c>
      <c r="B44" s="212"/>
      <c r="C44" s="88"/>
      <c r="D44" s="59"/>
      <c r="E44" s="62"/>
      <c r="F44" s="90"/>
      <c r="G44" s="89"/>
      <c r="H44" s="60"/>
      <c r="I44" s="104"/>
      <c r="J44" s="105"/>
      <c r="K44" s="106"/>
      <c r="L44" s="107"/>
      <c r="M44" s="107"/>
      <c r="N44" s="107"/>
      <c r="O44" s="107"/>
      <c r="P44" s="107"/>
      <c r="Q44" s="137"/>
      <c r="R44" s="138"/>
      <c r="S44" s="138"/>
      <c r="T44" s="138"/>
      <c r="U44" s="138"/>
      <c r="V44" s="138"/>
      <c r="W44" s="138"/>
      <c r="X44" s="138"/>
      <c r="Y44" s="138"/>
      <c r="Z44" s="138"/>
      <c r="AA44" s="138"/>
      <c r="AB44" s="138"/>
      <c r="AC44" s="138"/>
      <c r="AD44" s="138"/>
      <c r="AE44" s="138"/>
      <c r="AF44" s="138"/>
      <c r="AG44" s="138"/>
      <c r="AH44" s="138"/>
      <c r="AI44" s="138"/>
      <c r="AJ44" s="138"/>
    </row>
    <row r="45" spans="1:36" s="31" customFormat="1">
      <c r="A45" s="85" t="str">
        <f>IF(F45&lt;&gt;"",1+MAX($A$2:A44),"")</f>
        <v/>
      </c>
      <c r="B45" s="91"/>
      <c r="C45" s="92"/>
      <c r="D45" s="70" t="s">
        <v>31</v>
      </c>
      <c r="E45" s="93"/>
      <c r="F45" s="93"/>
      <c r="G45" s="94"/>
      <c r="H45" s="93"/>
      <c r="I45" s="93"/>
      <c r="J45" s="118"/>
      <c r="K45" s="118"/>
      <c r="L45" s="119"/>
      <c r="M45" s="120"/>
      <c r="N45" s="119"/>
      <c r="O45" s="119"/>
      <c r="P45" s="121"/>
      <c r="Q45" s="126">
        <f>SUM(Q40:Q43)</f>
        <v>246173.83600000001</v>
      </c>
      <c r="S45" s="129"/>
    </row>
    <row r="46" spans="1:36" s="31" customFormat="1">
      <c r="A46" s="95" t="str">
        <f>IF(F46&lt;&gt;"",1+MAX($A$2:A45),"")</f>
        <v/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139"/>
      <c r="S46" s="129"/>
    </row>
    <row r="47" spans="1:36" s="31" customFormat="1">
      <c r="A47" s="47" t="str">
        <f>IF(F47&lt;&gt;"",1+MAX($A$2:A46),"")</f>
        <v/>
      </c>
      <c r="B47" s="48"/>
      <c r="C47" s="48">
        <v>32</v>
      </c>
      <c r="D47" s="50" t="s">
        <v>55</v>
      </c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136"/>
      <c r="S47" s="129"/>
    </row>
    <row r="48" spans="1:36" s="31" customFormat="1">
      <c r="A48" s="85" t="str">
        <f>IF(F48&lt;&gt;"",1+MAX($A$2:A47),"")</f>
        <v/>
      </c>
      <c r="B48" s="86"/>
      <c r="C48" s="62"/>
      <c r="D48" s="87" t="s">
        <v>56</v>
      </c>
      <c r="E48" s="60"/>
      <c r="F48" s="60"/>
      <c r="G48" s="60"/>
      <c r="H48" s="60"/>
      <c r="I48" s="115"/>
      <c r="J48" s="116"/>
      <c r="K48" s="117"/>
      <c r="L48" s="107"/>
      <c r="M48" s="107"/>
      <c r="N48" s="107"/>
      <c r="O48" s="107"/>
      <c r="P48" s="107"/>
      <c r="Q48" s="137"/>
      <c r="R48" s="138"/>
      <c r="S48" s="138"/>
      <c r="T48" s="138"/>
      <c r="U48" s="138"/>
      <c r="V48" s="138"/>
      <c r="W48" s="138"/>
      <c r="X48" s="138"/>
      <c r="Y48" s="138"/>
      <c r="Z48" s="138"/>
      <c r="AA48" s="138"/>
      <c r="AB48" s="138"/>
      <c r="AC48" s="138"/>
      <c r="AD48" s="138"/>
      <c r="AE48" s="138"/>
      <c r="AF48" s="138"/>
      <c r="AG48" s="138"/>
      <c r="AH48" s="138"/>
      <c r="AI48" s="138"/>
      <c r="AJ48" s="138"/>
    </row>
    <row r="49" spans="1:36" s="31" customFormat="1">
      <c r="A49" s="85" t="str">
        <f>IF(F49&lt;&gt;"",1+MAX($A$2:A48),"")</f>
        <v/>
      </c>
      <c r="B49" s="213" t="s">
        <v>57</v>
      </c>
      <c r="C49" s="88"/>
      <c r="D49" s="97" t="s">
        <v>58</v>
      </c>
      <c r="E49" s="60"/>
      <c r="F49" s="90"/>
      <c r="G49" s="89"/>
      <c r="H49" s="60"/>
      <c r="I49" s="104"/>
      <c r="J49" s="105"/>
      <c r="K49" s="106"/>
      <c r="L49" s="107"/>
      <c r="M49" s="107"/>
      <c r="N49" s="107"/>
      <c r="O49" s="107"/>
      <c r="P49" s="107"/>
      <c r="Q49" s="131"/>
      <c r="R49" s="138"/>
      <c r="S49" s="138"/>
      <c r="T49" s="138"/>
      <c r="U49" s="138"/>
      <c r="V49" s="138"/>
      <c r="W49" s="138"/>
      <c r="X49" s="138"/>
      <c r="Y49" s="138"/>
      <c r="Z49" s="138"/>
      <c r="AA49" s="138"/>
      <c r="AB49" s="138"/>
      <c r="AC49" s="138"/>
      <c r="AD49" s="138"/>
      <c r="AE49" s="138"/>
      <c r="AF49" s="138"/>
      <c r="AG49" s="138"/>
      <c r="AH49" s="138"/>
      <c r="AI49" s="138"/>
      <c r="AJ49" s="138"/>
    </row>
    <row r="50" spans="1:36" s="31" customFormat="1">
      <c r="A50" s="85">
        <f>IF(F50&lt;&gt;"",1+MAX($A$2:A49),"")</f>
        <v>26</v>
      </c>
      <c r="B50" s="214"/>
      <c r="C50" s="88"/>
      <c r="D50" s="78" t="s">
        <v>59</v>
      </c>
      <c r="E50" s="60">
        <v>46</v>
      </c>
      <c r="F50" s="61">
        <v>0.05</v>
      </c>
      <c r="G50" s="89">
        <f>E50*(1+F50)</f>
        <v>48.3</v>
      </c>
      <c r="H50" s="60" t="s">
        <v>38</v>
      </c>
      <c r="I50" s="104">
        <f>0.024*8</f>
        <v>0.192</v>
      </c>
      <c r="J50" s="105">
        <f>+I50*G50</f>
        <v>9.2736000000000001</v>
      </c>
      <c r="K50" s="106">
        <f>'LABOR SHEET'!$C$5</f>
        <v>45</v>
      </c>
      <c r="L50" s="107">
        <f>I50*K50</f>
        <v>8.64</v>
      </c>
      <c r="M50" s="107">
        <f>K50*J50</f>
        <v>417.31200000000001</v>
      </c>
      <c r="N50" s="107">
        <f>2.7*8</f>
        <v>21.6</v>
      </c>
      <c r="O50" s="107">
        <f>N50*G50</f>
        <v>1043.28</v>
      </c>
      <c r="P50" s="107">
        <f>(I50*K50)+N50</f>
        <v>30.24</v>
      </c>
      <c r="Q50" s="131">
        <f>P50*G50</f>
        <v>1460.5920000000001</v>
      </c>
      <c r="R50" s="138"/>
      <c r="S50" s="138"/>
      <c r="T50" s="138"/>
      <c r="U50" s="138"/>
      <c r="V50" s="138"/>
      <c r="W50" s="138"/>
      <c r="X50" s="138"/>
      <c r="Y50" s="138"/>
      <c r="Z50" s="138"/>
      <c r="AA50" s="138"/>
      <c r="AB50" s="138"/>
      <c r="AC50" s="138"/>
      <c r="AD50" s="138"/>
      <c r="AE50" s="138"/>
      <c r="AF50" s="138"/>
      <c r="AG50" s="138"/>
      <c r="AH50" s="138"/>
      <c r="AI50" s="138"/>
      <c r="AJ50" s="138"/>
    </row>
    <row r="51" spans="1:36" s="31" customFormat="1">
      <c r="A51" s="85"/>
      <c r="B51" s="214"/>
      <c r="C51" s="88"/>
      <c r="D51" s="78"/>
      <c r="E51" s="60"/>
      <c r="F51" s="61"/>
      <c r="G51" s="89"/>
      <c r="H51" s="60"/>
      <c r="I51" s="104"/>
      <c r="J51" s="105"/>
      <c r="K51" s="106"/>
      <c r="L51" s="107"/>
      <c r="M51" s="107"/>
      <c r="N51" s="107"/>
      <c r="O51" s="107"/>
      <c r="P51" s="107"/>
      <c r="Q51" s="131"/>
      <c r="R51" s="138"/>
      <c r="S51" s="138"/>
      <c r="T51" s="138"/>
      <c r="U51" s="138"/>
      <c r="V51" s="138"/>
      <c r="W51" s="138"/>
      <c r="X51" s="138"/>
      <c r="Y51" s="138"/>
      <c r="Z51" s="138"/>
      <c r="AA51" s="138"/>
      <c r="AB51" s="138"/>
      <c r="AC51" s="138"/>
      <c r="AD51" s="138"/>
      <c r="AE51" s="138"/>
      <c r="AF51" s="138"/>
      <c r="AG51" s="138"/>
      <c r="AH51" s="138"/>
      <c r="AI51" s="138"/>
      <c r="AJ51" s="138"/>
    </row>
    <row r="52" spans="1:36" s="31" customFormat="1">
      <c r="A52" s="85" t="str">
        <f>IF(F52&lt;&gt;"",1+MAX($A$2:A50),"")</f>
        <v/>
      </c>
      <c r="B52" s="214"/>
      <c r="C52" s="88"/>
      <c r="D52" s="97" t="s">
        <v>60</v>
      </c>
      <c r="E52" s="60"/>
      <c r="F52" s="90"/>
      <c r="G52" s="89"/>
      <c r="H52" s="60"/>
      <c r="I52" s="104"/>
      <c r="J52" s="105"/>
      <c r="K52" s="106"/>
      <c r="L52" s="107"/>
      <c r="M52" s="107"/>
      <c r="N52" s="107"/>
      <c r="O52" s="107"/>
      <c r="P52" s="107"/>
      <c r="Q52" s="131"/>
      <c r="R52" s="138"/>
      <c r="S52" s="138"/>
      <c r="T52" s="138"/>
      <c r="U52" s="138"/>
      <c r="V52" s="138"/>
      <c r="W52" s="138"/>
      <c r="X52" s="138"/>
      <c r="Y52" s="138"/>
      <c r="Z52" s="138"/>
      <c r="AA52" s="138"/>
      <c r="AB52" s="138"/>
      <c r="AC52" s="138"/>
      <c r="AD52" s="138"/>
      <c r="AE52" s="138"/>
      <c r="AF52" s="138"/>
      <c r="AG52" s="138"/>
      <c r="AH52" s="138"/>
      <c r="AI52" s="138"/>
      <c r="AJ52" s="138"/>
    </row>
    <row r="53" spans="1:36" s="31" customFormat="1" ht="31.2">
      <c r="A53" s="85">
        <f>IF(F53&lt;&gt;"",1+MAX($A$2:A52),"")</f>
        <v>27</v>
      </c>
      <c r="B53" s="214"/>
      <c r="C53" s="88"/>
      <c r="D53" s="80" t="s">
        <v>61</v>
      </c>
      <c r="E53" s="60">
        <v>14989</v>
      </c>
      <c r="F53" s="55">
        <v>0.1</v>
      </c>
      <c r="G53" s="89">
        <f>E53*(1+F53)</f>
        <v>16487.900000000001</v>
      </c>
      <c r="H53" s="60" t="s">
        <v>36</v>
      </c>
      <c r="I53" s="104">
        <v>3.2000000000000001E-2</v>
      </c>
      <c r="J53" s="105">
        <f>+I53*G53</f>
        <v>527.61279999999999</v>
      </c>
      <c r="K53" s="106">
        <f>'LABOR SHEET'!$C$5</f>
        <v>45</v>
      </c>
      <c r="L53" s="107">
        <f>I53*K53</f>
        <v>1.44</v>
      </c>
      <c r="M53" s="107">
        <f>K53*J53</f>
        <v>23742.576000000001</v>
      </c>
      <c r="N53" s="107">
        <v>1</v>
      </c>
      <c r="O53" s="107">
        <f>N53*G53</f>
        <v>16487.900000000001</v>
      </c>
      <c r="P53" s="107">
        <f>(I53*K53)+N53</f>
        <v>2.44</v>
      </c>
      <c r="Q53" s="131">
        <f>P53*G53</f>
        <v>40230.476000000002</v>
      </c>
      <c r="R53" s="138"/>
      <c r="S53" s="138"/>
      <c r="T53" s="138"/>
      <c r="U53" s="138"/>
      <c r="V53" s="138"/>
      <c r="W53" s="138"/>
      <c r="X53" s="138"/>
      <c r="Y53" s="138"/>
      <c r="Z53" s="138"/>
      <c r="AA53" s="138"/>
      <c r="AB53" s="138"/>
      <c r="AC53" s="138"/>
      <c r="AD53" s="138"/>
      <c r="AE53" s="138"/>
      <c r="AF53" s="138"/>
      <c r="AG53" s="138"/>
      <c r="AH53" s="138"/>
      <c r="AI53" s="138"/>
      <c r="AJ53" s="138"/>
    </row>
    <row r="54" spans="1:36" s="31" customFormat="1">
      <c r="A54" s="85">
        <f>IF(F54&lt;&gt;"",1+MAX($A$2:A53),"")</f>
        <v>28</v>
      </c>
      <c r="B54" s="214"/>
      <c r="C54" s="88"/>
      <c r="D54" s="98" t="s">
        <v>62</v>
      </c>
      <c r="E54" s="62">
        <f>0.75*14989/27</f>
        <v>416.36111111111097</v>
      </c>
      <c r="F54" s="55">
        <v>0.1</v>
      </c>
      <c r="G54" s="89">
        <f>E54*(1+F54)</f>
        <v>457.99722222222198</v>
      </c>
      <c r="H54" s="60" t="s">
        <v>52</v>
      </c>
      <c r="I54" s="104">
        <v>1</v>
      </c>
      <c r="J54" s="105">
        <f>+I54*G54</f>
        <v>457.99722222222198</v>
      </c>
      <c r="K54" s="106">
        <f>'LABOR SHEET'!$C$5</f>
        <v>45</v>
      </c>
      <c r="L54" s="107">
        <f>I54*K54</f>
        <v>45</v>
      </c>
      <c r="M54" s="107">
        <f>K54*J54</f>
        <v>20609.875</v>
      </c>
      <c r="N54" s="107">
        <v>68.2</v>
      </c>
      <c r="O54" s="107">
        <f>N54*G54</f>
        <v>31235.4105555555</v>
      </c>
      <c r="P54" s="107">
        <f>(I54*K54)+N54</f>
        <v>113.2</v>
      </c>
      <c r="Q54" s="131">
        <f>P54*G54</f>
        <v>51845.2855555555</v>
      </c>
      <c r="R54" s="138"/>
      <c r="S54" s="138"/>
      <c r="T54" s="138"/>
      <c r="U54" s="138"/>
      <c r="V54" s="138"/>
      <c r="W54" s="138"/>
      <c r="X54" s="138"/>
      <c r="Y54" s="138"/>
      <c r="Z54" s="138"/>
      <c r="AA54" s="138"/>
      <c r="AB54" s="138"/>
      <c r="AC54" s="138"/>
      <c r="AD54" s="138"/>
      <c r="AE54" s="138"/>
      <c r="AF54" s="138"/>
      <c r="AG54" s="138"/>
      <c r="AH54" s="138"/>
      <c r="AI54" s="138"/>
      <c r="AJ54" s="138"/>
    </row>
    <row r="55" spans="1:36" s="31" customFormat="1">
      <c r="A55" s="85">
        <f>IF(F55&lt;&gt;"",1+MAX($A$2:A54),"")</f>
        <v>29</v>
      </c>
      <c r="B55" s="214"/>
      <c r="C55" s="88"/>
      <c r="D55" s="98" t="s">
        <v>63</v>
      </c>
      <c r="E55" s="60">
        <v>14989</v>
      </c>
      <c r="F55" s="55">
        <v>0.1</v>
      </c>
      <c r="G55" s="89">
        <f>E55*(1+F55)</f>
        <v>16487.900000000001</v>
      </c>
      <c r="H55" s="60" t="s">
        <v>36</v>
      </c>
      <c r="I55" s="104">
        <v>7.0000000000000001E-3</v>
      </c>
      <c r="J55" s="105">
        <f>+I55*G55</f>
        <v>115.4153</v>
      </c>
      <c r="K55" s="106">
        <f>'LABOR SHEET'!$C$5</f>
        <v>45</v>
      </c>
      <c r="L55" s="107">
        <f>I55*K55</f>
        <v>0.315</v>
      </c>
      <c r="M55" s="107">
        <f>K55*J55</f>
        <v>5193.6885000000002</v>
      </c>
      <c r="N55" s="107">
        <v>0.4</v>
      </c>
      <c r="O55" s="107">
        <f>N55*G55</f>
        <v>6595.16</v>
      </c>
      <c r="P55" s="107">
        <f>(I55*K55)+N55</f>
        <v>0.71499999999999997</v>
      </c>
      <c r="Q55" s="131">
        <f>P55*G55</f>
        <v>11788.8485</v>
      </c>
      <c r="R55" s="138"/>
      <c r="S55" s="138"/>
      <c r="T55" s="138"/>
      <c r="U55" s="138"/>
      <c r="V55" s="138"/>
      <c r="W55" s="138"/>
      <c r="X55" s="138"/>
      <c r="Y55" s="138"/>
      <c r="Z55" s="138"/>
      <c r="AA55" s="138"/>
      <c r="AB55" s="138"/>
      <c r="AC55" s="138"/>
      <c r="AD55" s="138"/>
      <c r="AE55" s="138"/>
      <c r="AF55" s="138"/>
      <c r="AG55" s="138"/>
      <c r="AH55" s="138"/>
      <c r="AI55" s="138"/>
      <c r="AJ55" s="138"/>
    </row>
    <row r="56" spans="1:36" s="31" customFormat="1">
      <c r="A56" s="85"/>
      <c r="B56" s="214"/>
      <c r="C56" s="88"/>
      <c r="D56" s="98"/>
      <c r="E56" s="60"/>
      <c r="F56" s="55"/>
      <c r="G56" s="89"/>
      <c r="H56" s="60"/>
      <c r="I56" s="104"/>
      <c r="J56" s="105"/>
      <c r="K56" s="106"/>
      <c r="L56" s="107"/>
      <c r="M56" s="107"/>
      <c r="N56" s="107"/>
      <c r="O56" s="107"/>
      <c r="P56" s="107"/>
      <c r="Q56" s="131"/>
      <c r="R56" s="138"/>
      <c r="S56" s="138"/>
      <c r="T56" s="138"/>
      <c r="U56" s="138"/>
      <c r="V56" s="138"/>
      <c r="W56" s="138"/>
      <c r="X56" s="138"/>
      <c r="Y56" s="138"/>
      <c r="Z56" s="138"/>
      <c r="AA56" s="138"/>
      <c r="AB56" s="138"/>
      <c r="AC56" s="138"/>
      <c r="AD56" s="138"/>
      <c r="AE56" s="138"/>
      <c r="AF56" s="138"/>
      <c r="AG56" s="138"/>
      <c r="AH56" s="138"/>
      <c r="AI56" s="138"/>
      <c r="AJ56" s="138"/>
    </row>
    <row r="57" spans="1:36" s="31" customFormat="1">
      <c r="A57" s="85" t="str">
        <f>IF(F57&lt;&gt;"",1+MAX($A$2:A55),"")</f>
        <v/>
      </c>
      <c r="B57" s="214"/>
      <c r="C57" s="88"/>
      <c r="D57" s="97" t="s">
        <v>64</v>
      </c>
      <c r="E57" s="60"/>
      <c r="F57" s="90"/>
      <c r="G57" s="89"/>
      <c r="H57" s="60"/>
      <c r="I57" s="104"/>
      <c r="J57" s="105"/>
      <c r="K57" s="106"/>
      <c r="L57" s="107"/>
      <c r="M57" s="107"/>
      <c r="N57" s="107"/>
      <c r="O57" s="107"/>
      <c r="P57" s="107"/>
      <c r="Q57" s="131"/>
      <c r="R57" s="138"/>
      <c r="S57" s="138"/>
      <c r="T57" s="138"/>
      <c r="U57" s="138"/>
      <c r="V57" s="138"/>
      <c r="W57" s="138"/>
      <c r="X57" s="138"/>
      <c r="Y57" s="138"/>
      <c r="Z57" s="138"/>
      <c r="AA57" s="138"/>
      <c r="AB57" s="138"/>
      <c r="AC57" s="138"/>
      <c r="AD57" s="138"/>
      <c r="AE57" s="138"/>
      <c r="AF57" s="138"/>
      <c r="AG57" s="138"/>
      <c r="AH57" s="138"/>
      <c r="AI57" s="138"/>
      <c r="AJ57" s="138"/>
    </row>
    <row r="58" spans="1:36" s="31" customFormat="1" ht="31.2">
      <c r="A58" s="85">
        <f>IF(F58&lt;&gt;"",1+MAX($A$2:A57),"")</f>
        <v>30</v>
      </c>
      <c r="B58" s="214"/>
      <c r="C58" s="88"/>
      <c r="D58" s="80" t="s">
        <v>65</v>
      </c>
      <c r="E58" s="62">
        <f>0.5*2148/27</f>
        <v>39.7777777777778</v>
      </c>
      <c r="F58" s="55">
        <v>0.1</v>
      </c>
      <c r="G58" s="89">
        <f>E58*(1+F58)</f>
        <v>43.755555555555603</v>
      </c>
      <c r="H58" s="60" t="s">
        <v>52</v>
      </c>
      <c r="I58" s="104">
        <v>2.7</v>
      </c>
      <c r="J58" s="105">
        <f>+I58*G58</f>
        <v>118.14</v>
      </c>
      <c r="K58" s="106">
        <f>'LABOR SHEET'!$C$5</f>
        <v>45</v>
      </c>
      <c r="L58" s="107">
        <f>I58*K58</f>
        <v>121.5</v>
      </c>
      <c r="M58" s="107">
        <f>K58*J58</f>
        <v>5316.3</v>
      </c>
      <c r="N58" s="107">
        <v>235</v>
      </c>
      <c r="O58" s="107">
        <f>N58*G58</f>
        <v>10282.5555555556</v>
      </c>
      <c r="P58" s="107">
        <f>(I58*K58)+N58</f>
        <v>356.5</v>
      </c>
      <c r="Q58" s="131">
        <f>P58*G58</f>
        <v>15598.855555555599</v>
      </c>
      <c r="R58" s="138"/>
      <c r="S58" s="138"/>
      <c r="T58" s="138"/>
      <c r="U58" s="138"/>
      <c r="V58" s="138"/>
      <c r="W58" s="138"/>
      <c r="X58" s="138"/>
      <c r="Y58" s="138"/>
      <c r="Z58" s="138"/>
      <c r="AA58" s="138"/>
      <c r="AB58" s="138"/>
      <c r="AC58" s="138"/>
      <c r="AD58" s="138"/>
      <c r="AE58" s="138"/>
      <c r="AF58" s="138"/>
      <c r="AG58" s="138"/>
      <c r="AH58" s="138"/>
      <c r="AI58" s="138"/>
      <c r="AJ58" s="138"/>
    </row>
    <row r="59" spans="1:36" s="31" customFormat="1">
      <c r="A59" s="85">
        <f>IF(F59&lt;&gt;"",1+MAX($A$2:A58),"")</f>
        <v>31</v>
      </c>
      <c r="B59" s="214"/>
      <c r="C59" s="88"/>
      <c r="D59" s="80" t="s">
        <v>63</v>
      </c>
      <c r="E59" s="60">
        <v>2148</v>
      </c>
      <c r="F59" s="55">
        <v>0.1</v>
      </c>
      <c r="G59" s="89">
        <f>E59*(1+F59)</f>
        <v>2362.8000000000002</v>
      </c>
      <c r="H59" s="60" t="s">
        <v>36</v>
      </c>
      <c r="I59" s="104">
        <v>7.0000000000000001E-3</v>
      </c>
      <c r="J59" s="105">
        <f>+I59*G59</f>
        <v>16.5396</v>
      </c>
      <c r="K59" s="106">
        <f>'LABOR SHEET'!$C$5</f>
        <v>45</v>
      </c>
      <c r="L59" s="107">
        <f>I59*K59</f>
        <v>0.315</v>
      </c>
      <c r="M59" s="107">
        <f>K59*J59</f>
        <v>744.28200000000004</v>
      </c>
      <c r="N59" s="107">
        <v>0.4</v>
      </c>
      <c r="O59" s="107">
        <f>N59*G59</f>
        <v>945.12</v>
      </c>
      <c r="P59" s="107">
        <f>(I59*K59)+N59</f>
        <v>0.71499999999999997</v>
      </c>
      <c r="Q59" s="131">
        <f>P59*G59</f>
        <v>1689.402</v>
      </c>
      <c r="R59" s="138"/>
      <c r="S59" s="138"/>
      <c r="T59" s="138"/>
      <c r="U59" s="138"/>
      <c r="V59" s="138"/>
      <c r="W59" s="138"/>
      <c r="X59" s="138"/>
      <c r="Y59" s="138"/>
      <c r="Z59" s="138"/>
      <c r="AA59" s="138"/>
      <c r="AB59" s="138"/>
      <c r="AC59" s="138"/>
      <c r="AD59" s="138"/>
      <c r="AE59" s="138"/>
      <c r="AF59" s="138"/>
      <c r="AG59" s="138"/>
      <c r="AH59" s="138"/>
      <c r="AI59" s="138"/>
      <c r="AJ59" s="138"/>
    </row>
    <row r="60" spans="1:36" s="31" customFormat="1">
      <c r="A60" s="85">
        <f>IF(F60&lt;&gt;"",1+MAX($A$2:A59),"")</f>
        <v>32</v>
      </c>
      <c r="B60" s="214"/>
      <c r="C60" s="88"/>
      <c r="D60" s="98" t="s">
        <v>66</v>
      </c>
      <c r="E60" s="62">
        <f>2148/30*2</f>
        <v>143.19999999999999</v>
      </c>
      <c r="F60" s="61">
        <v>0.05</v>
      </c>
      <c r="G60" s="89">
        <f>E60*(1+F60)</f>
        <v>150.36000000000001</v>
      </c>
      <c r="H60" s="60" t="s">
        <v>38</v>
      </c>
      <c r="I60" s="104">
        <v>1.7999999999999999E-2</v>
      </c>
      <c r="J60" s="105">
        <f>+I60*G60</f>
        <v>2.70648</v>
      </c>
      <c r="K60" s="106">
        <f>'LABOR SHEET'!$C$5</f>
        <v>45</v>
      </c>
      <c r="L60" s="107">
        <f>I60*K60</f>
        <v>0.81</v>
      </c>
      <c r="M60" s="107">
        <f>K60*J60</f>
        <v>121.7916</v>
      </c>
      <c r="N60" s="107">
        <v>0.82</v>
      </c>
      <c r="O60" s="107">
        <f>N60*G60</f>
        <v>123.29519999999999</v>
      </c>
      <c r="P60" s="107">
        <f>(I60*K60)+N60</f>
        <v>1.63</v>
      </c>
      <c r="Q60" s="131">
        <f>P60*G60</f>
        <v>245.08680000000001</v>
      </c>
      <c r="R60" s="138"/>
      <c r="S60" s="138"/>
      <c r="T60" s="138"/>
      <c r="U60" s="138"/>
      <c r="V60" s="138"/>
      <c r="W60" s="138"/>
      <c r="X60" s="138"/>
      <c r="Y60" s="138"/>
      <c r="Z60" s="138"/>
      <c r="AA60" s="138"/>
      <c r="AB60" s="138"/>
      <c r="AC60" s="138"/>
      <c r="AD60" s="138"/>
      <c r="AE60" s="138"/>
      <c r="AF60" s="138"/>
      <c r="AG60" s="138"/>
      <c r="AH60" s="138"/>
      <c r="AI60" s="138"/>
      <c r="AJ60" s="138"/>
    </row>
    <row r="61" spans="1:36" s="31" customFormat="1">
      <c r="A61" s="85">
        <f>IF(F61&lt;&gt;"",1+MAX($A$2:A60),"")</f>
        <v>33</v>
      </c>
      <c r="B61" s="214"/>
      <c r="C61" s="88"/>
      <c r="D61" s="98" t="s">
        <v>67</v>
      </c>
      <c r="E61" s="62">
        <f>2148/30*2</f>
        <v>143.19999999999999</v>
      </c>
      <c r="F61" s="61">
        <v>0.05</v>
      </c>
      <c r="G61" s="89">
        <f t="shared" ref="G61:G64" si="33">E61*(1+F61)</f>
        <v>150.36000000000001</v>
      </c>
      <c r="H61" s="60" t="s">
        <v>38</v>
      </c>
      <c r="I61" s="104">
        <v>0.01</v>
      </c>
      <c r="J61" s="105">
        <f t="shared" ref="J61:J64" si="34">+I61*G61</f>
        <v>1.5036</v>
      </c>
      <c r="K61" s="106">
        <f>'LABOR SHEET'!$C$5</f>
        <v>45</v>
      </c>
      <c r="L61" s="107">
        <f t="shared" ref="L61:L64" si="35">I61*K61</f>
        <v>0.45</v>
      </c>
      <c r="M61" s="107">
        <f t="shared" ref="M61:M64" si="36">K61*J61</f>
        <v>67.662000000000006</v>
      </c>
      <c r="N61" s="107">
        <v>0.22</v>
      </c>
      <c r="O61" s="107">
        <f t="shared" ref="O61:O64" si="37">N61*G61</f>
        <v>33.0792</v>
      </c>
      <c r="P61" s="107">
        <f t="shared" ref="P61:P64" si="38">(I61*K61)+N61</f>
        <v>0.67</v>
      </c>
      <c r="Q61" s="131">
        <f t="shared" ref="Q61:Q64" si="39">P61*G61</f>
        <v>100.74120000000001</v>
      </c>
      <c r="R61" s="138"/>
      <c r="S61" s="138"/>
      <c r="T61" s="138"/>
      <c r="U61" s="138"/>
      <c r="V61" s="138"/>
      <c r="W61" s="138"/>
      <c r="X61" s="138"/>
      <c r="Y61" s="138"/>
      <c r="Z61" s="138"/>
      <c r="AA61" s="138"/>
      <c r="AB61" s="138"/>
      <c r="AC61" s="138"/>
      <c r="AD61" s="138"/>
      <c r="AE61" s="138"/>
      <c r="AF61" s="138"/>
      <c r="AG61" s="138"/>
      <c r="AH61" s="138"/>
      <c r="AI61" s="138"/>
      <c r="AJ61" s="138"/>
    </row>
    <row r="62" spans="1:36" s="31" customFormat="1">
      <c r="A62" s="85">
        <f>IF(F62&lt;&gt;"",1+MAX($A$2:A61),"")</f>
        <v>34</v>
      </c>
      <c r="B62" s="214"/>
      <c r="C62" s="88"/>
      <c r="D62" s="98" t="s">
        <v>68</v>
      </c>
      <c r="E62" s="62">
        <f>2148/30*2</f>
        <v>143.19999999999999</v>
      </c>
      <c r="F62" s="61">
        <v>0.05</v>
      </c>
      <c r="G62" s="89">
        <f t="shared" si="33"/>
        <v>150.36000000000001</v>
      </c>
      <c r="H62" s="60" t="s">
        <v>38</v>
      </c>
      <c r="I62" s="104">
        <v>0.02</v>
      </c>
      <c r="J62" s="105">
        <f t="shared" si="34"/>
        <v>3.0072000000000001</v>
      </c>
      <c r="K62" s="106">
        <f>'LABOR SHEET'!$C$5</f>
        <v>45</v>
      </c>
      <c r="L62" s="107">
        <f t="shared" si="35"/>
        <v>0.9</v>
      </c>
      <c r="M62" s="107">
        <f t="shared" si="36"/>
        <v>135.32400000000001</v>
      </c>
      <c r="N62" s="107">
        <v>1.25</v>
      </c>
      <c r="O62" s="107">
        <f t="shared" si="37"/>
        <v>187.95</v>
      </c>
      <c r="P62" s="107">
        <f t="shared" si="38"/>
        <v>2.15</v>
      </c>
      <c r="Q62" s="131">
        <f t="shared" si="39"/>
        <v>323.274</v>
      </c>
      <c r="R62" s="138"/>
      <c r="S62" s="138"/>
      <c r="T62" s="138"/>
      <c r="U62" s="138"/>
      <c r="V62" s="138"/>
      <c r="W62" s="138"/>
      <c r="X62" s="138"/>
      <c r="Y62" s="138"/>
      <c r="Z62" s="138"/>
      <c r="AA62" s="138"/>
      <c r="AB62" s="138"/>
      <c r="AC62" s="138"/>
      <c r="AD62" s="138"/>
      <c r="AE62" s="138"/>
      <c r="AF62" s="138"/>
      <c r="AG62" s="138"/>
      <c r="AH62" s="138"/>
      <c r="AI62" s="138"/>
      <c r="AJ62" s="138"/>
    </row>
    <row r="63" spans="1:36" s="31" customFormat="1">
      <c r="A63" s="85">
        <f>IF(F63&lt;&gt;"",1+MAX($A$2:A62),"")</f>
        <v>35</v>
      </c>
      <c r="B63" s="214"/>
      <c r="C63" s="88"/>
      <c r="D63" s="98" t="s">
        <v>69</v>
      </c>
      <c r="E63" s="62">
        <f>2148/20*2</f>
        <v>214.8</v>
      </c>
      <c r="F63" s="61">
        <v>0.05</v>
      </c>
      <c r="G63" s="89">
        <f t="shared" si="33"/>
        <v>225.54</v>
      </c>
      <c r="H63" s="60" t="s">
        <v>38</v>
      </c>
      <c r="I63" s="104">
        <v>1.7999999999999999E-2</v>
      </c>
      <c r="J63" s="105">
        <f t="shared" si="34"/>
        <v>4.0597200000000004</v>
      </c>
      <c r="K63" s="106">
        <f>'LABOR SHEET'!$C$5</f>
        <v>45</v>
      </c>
      <c r="L63" s="107">
        <f t="shared" si="35"/>
        <v>0.81</v>
      </c>
      <c r="M63" s="107">
        <f t="shared" si="36"/>
        <v>182.6874</v>
      </c>
      <c r="N63" s="107">
        <v>0.82</v>
      </c>
      <c r="O63" s="107">
        <f t="shared" si="37"/>
        <v>184.94280000000001</v>
      </c>
      <c r="P63" s="107">
        <f t="shared" si="38"/>
        <v>1.63</v>
      </c>
      <c r="Q63" s="131">
        <f t="shared" si="39"/>
        <v>367.6302</v>
      </c>
      <c r="R63" s="138"/>
      <c r="S63" s="138"/>
      <c r="T63" s="138"/>
      <c r="U63" s="138"/>
      <c r="V63" s="138"/>
      <c r="W63" s="138"/>
      <c r="X63" s="138"/>
      <c r="Y63" s="138"/>
      <c r="Z63" s="138"/>
      <c r="AA63" s="138"/>
      <c r="AB63" s="138"/>
      <c r="AC63" s="138"/>
      <c r="AD63" s="138"/>
      <c r="AE63" s="138"/>
      <c r="AF63" s="138"/>
      <c r="AG63" s="138"/>
      <c r="AH63" s="138"/>
      <c r="AI63" s="138"/>
      <c r="AJ63" s="138"/>
    </row>
    <row r="64" spans="1:36" s="31" customFormat="1">
      <c r="A64" s="85">
        <f>IF(F64&lt;&gt;"",1+MAX($A$2:A63),"")</f>
        <v>36</v>
      </c>
      <c r="B64" s="214"/>
      <c r="C64" s="88"/>
      <c r="D64" s="98" t="s">
        <v>70</v>
      </c>
      <c r="E64" s="62">
        <f>327*0.5</f>
        <v>163.5</v>
      </c>
      <c r="F64" s="55">
        <v>0.1</v>
      </c>
      <c r="G64" s="89">
        <f t="shared" si="33"/>
        <v>179.85</v>
      </c>
      <c r="H64" s="60" t="s">
        <v>36</v>
      </c>
      <c r="I64" s="104">
        <v>1.7999999999999999E-2</v>
      </c>
      <c r="J64" s="105">
        <f t="shared" si="34"/>
        <v>3.2372999999999998</v>
      </c>
      <c r="K64" s="106">
        <f>'LABOR SHEET'!$C$5</f>
        <v>45</v>
      </c>
      <c r="L64" s="107">
        <f t="shared" si="35"/>
        <v>0.81</v>
      </c>
      <c r="M64" s="107">
        <f t="shared" si="36"/>
        <v>145.67850000000001</v>
      </c>
      <c r="N64" s="107">
        <v>3</v>
      </c>
      <c r="O64" s="107">
        <f t="shared" si="37"/>
        <v>539.54999999999995</v>
      </c>
      <c r="P64" s="107">
        <f t="shared" si="38"/>
        <v>3.81</v>
      </c>
      <c r="Q64" s="131">
        <f t="shared" si="39"/>
        <v>685.22850000000005</v>
      </c>
      <c r="R64" s="138"/>
      <c r="S64" s="138"/>
      <c r="T64" s="138"/>
      <c r="U64" s="138"/>
      <c r="V64" s="138"/>
      <c r="W64" s="138"/>
      <c r="X64" s="138"/>
      <c r="Y64" s="138"/>
      <c r="Z64" s="138"/>
      <c r="AA64" s="138"/>
      <c r="AB64" s="138"/>
      <c r="AC64" s="138"/>
      <c r="AD64" s="138"/>
      <c r="AE64" s="138"/>
      <c r="AF64" s="138"/>
      <c r="AG64" s="138"/>
      <c r="AH64" s="138"/>
      <c r="AI64" s="138"/>
      <c r="AJ64" s="138"/>
    </row>
    <row r="65" spans="1:36" s="31" customFormat="1">
      <c r="A65" s="85"/>
      <c r="B65" s="214"/>
      <c r="C65" s="88"/>
      <c r="D65" s="98"/>
      <c r="E65" s="62"/>
      <c r="F65" s="55"/>
      <c r="G65" s="89"/>
      <c r="H65" s="60"/>
      <c r="I65" s="104"/>
      <c r="J65" s="105"/>
      <c r="K65" s="106"/>
      <c r="L65" s="107"/>
      <c r="M65" s="107"/>
      <c r="N65" s="107"/>
      <c r="O65" s="107"/>
      <c r="P65" s="107"/>
      <c r="Q65" s="131"/>
      <c r="R65" s="138"/>
      <c r="S65" s="138"/>
      <c r="T65" s="138"/>
      <c r="U65" s="138"/>
      <c r="V65" s="138"/>
      <c r="W65" s="138"/>
      <c r="X65" s="138"/>
      <c r="Y65" s="138"/>
      <c r="Z65" s="138"/>
      <c r="AA65" s="138"/>
      <c r="AB65" s="138"/>
      <c r="AC65" s="138"/>
      <c r="AD65" s="138"/>
      <c r="AE65" s="138"/>
      <c r="AF65" s="138"/>
      <c r="AG65" s="138"/>
      <c r="AH65" s="138"/>
      <c r="AI65" s="138"/>
      <c r="AJ65" s="138"/>
    </row>
    <row r="66" spans="1:36" s="31" customFormat="1">
      <c r="A66" s="85" t="str">
        <f>IF(F66&lt;&gt;"",1+MAX($A$2:A64),"")</f>
        <v/>
      </c>
      <c r="B66" s="214"/>
      <c r="C66" s="88"/>
      <c r="D66" s="97" t="s">
        <v>71</v>
      </c>
      <c r="E66" s="60"/>
      <c r="F66" s="90"/>
      <c r="G66" s="89"/>
      <c r="H66" s="60"/>
      <c r="I66" s="104"/>
      <c r="J66" s="105"/>
      <c r="K66" s="106"/>
      <c r="L66" s="107"/>
      <c r="M66" s="107"/>
      <c r="N66" s="107"/>
      <c r="O66" s="107"/>
      <c r="P66" s="107"/>
      <c r="Q66" s="131"/>
      <c r="R66" s="138"/>
      <c r="S66" s="138"/>
      <c r="T66" s="138"/>
      <c r="U66" s="138"/>
      <c r="V66" s="138"/>
      <c r="W66" s="138"/>
      <c r="X66" s="138"/>
      <c r="Y66" s="138"/>
      <c r="Z66" s="138"/>
      <c r="AA66" s="138"/>
      <c r="AB66" s="138"/>
      <c r="AC66" s="138"/>
      <c r="AD66" s="138"/>
      <c r="AE66" s="138"/>
      <c r="AF66" s="138"/>
      <c r="AG66" s="138"/>
      <c r="AH66" s="138"/>
      <c r="AI66" s="138"/>
      <c r="AJ66" s="138"/>
    </row>
    <row r="67" spans="1:36" s="31" customFormat="1">
      <c r="A67" s="85">
        <f>IF(F67&lt;&gt;"",1+MAX($A$2:A66),"")</f>
        <v>37</v>
      </c>
      <c r="B67" s="214"/>
      <c r="C67" s="88"/>
      <c r="D67" s="80" t="s">
        <v>72</v>
      </c>
      <c r="E67" s="62">
        <f>0.34*5346/27</f>
        <v>67.319999999999993</v>
      </c>
      <c r="F67" s="55">
        <v>0.1</v>
      </c>
      <c r="G67" s="89">
        <f t="shared" ref="G67:G71" si="40">E67*(1+F67)</f>
        <v>74.052000000000007</v>
      </c>
      <c r="H67" s="60" t="s">
        <v>52</v>
      </c>
      <c r="I67" s="104">
        <v>2.6</v>
      </c>
      <c r="J67" s="105">
        <f>+I67*G67</f>
        <v>192.5352</v>
      </c>
      <c r="K67" s="106">
        <f>'LABOR SHEET'!$C$5</f>
        <v>45</v>
      </c>
      <c r="L67" s="107">
        <f>I67*K67</f>
        <v>117</v>
      </c>
      <c r="M67" s="107">
        <f>K67*J67</f>
        <v>8664.0840000000007</v>
      </c>
      <c r="N67" s="107">
        <v>198</v>
      </c>
      <c r="O67" s="107">
        <f t="shared" ref="O67:O71" si="41">N67*G67</f>
        <v>14662.296</v>
      </c>
      <c r="P67" s="107">
        <f t="shared" ref="P67:P71" si="42">(I67*K67)+N67</f>
        <v>315</v>
      </c>
      <c r="Q67" s="131">
        <f t="shared" ref="Q67:Q71" si="43">P67*G67</f>
        <v>23326.38</v>
      </c>
      <c r="R67" s="138"/>
      <c r="S67" s="138"/>
      <c r="T67" s="138"/>
      <c r="U67" s="138"/>
      <c r="V67" s="138"/>
      <c r="W67" s="138"/>
      <c r="X67" s="138"/>
      <c r="Y67" s="138"/>
      <c r="Z67" s="138"/>
      <c r="AA67" s="138"/>
      <c r="AB67" s="138"/>
      <c r="AC67" s="138"/>
      <c r="AD67" s="138"/>
      <c r="AE67" s="138"/>
      <c r="AF67" s="138"/>
      <c r="AG67" s="138"/>
      <c r="AH67" s="138"/>
      <c r="AI67" s="138"/>
      <c r="AJ67" s="138"/>
    </row>
    <row r="68" spans="1:36" s="31" customFormat="1">
      <c r="A68" s="85">
        <f>IF(F68&lt;&gt;"",1+MAX($A$2:A67),"")</f>
        <v>38</v>
      </c>
      <c r="B68" s="214"/>
      <c r="C68" s="88"/>
      <c r="D68" s="98" t="s">
        <v>73</v>
      </c>
      <c r="E68" s="60">
        <v>5346</v>
      </c>
      <c r="F68" s="55">
        <v>0.1</v>
      </c>
      <c r="G68" s="89">
        <f t="shared" si="40"/>
        <v>5880.6</v>
      </c>
      <c r="H68" s="60" t="s">
        <v>36</v>
      </c>
      <c r="I68" s="104">
        <v>8.0000000000000002E-3</v>
      </c>
      <c r="J68" s="105">
        <f t="shared" ref="J68:J71" si="44">+I68*G68</f>
        <v>47.044800000000002</v>
      </c>
      <c r="K68" s="106">
        <f>'LABOR SHEET'!$C$5</f>
        <v>45</v>
      </c>
      <c r="L68" s="107">
        <f t="shared" ref="L68:L71" si="45">I68*K68</f>
        <v>0.36</v>
      </c>
      <c r="M68" s="107">
        <f t="shared" ref="M68:M71" si="46">K68*J68</f>
        <v>2117.0160000000001</v>
      </c>
      <c r="N68" s="107">
        <v>0.55000000000000004</v>
      </c>
      <c r="O68" s="107">
        <f t="shared" si="41"/>
        <v>3234.33</v>
      </c>
      <c r="P68" s="107">
        <f t="shared" si="42"/>
        <v>0.91</v>
      </c>
      <c r="Q68" s="131">
        <f t="shared" si="43"/>
        <v>5351.3459999999995</v>
      </c>
      <c r="R68" s="138"/>
      <c r="S68" s="138"/>
      <c r="T68" s="138"/>
      <c r="U68" s="138"/>
      <c r="V68" s="138"/>
      <c r="W68" s="138"/>
      <c r="X68" s="138"/>
      <c r="Y68" s="138"/>
      <c r="Z68" s="138"/>
      <c r="AA68" s="138"/>
      <c r="AB68" s="138"/>
      <c r="AC68" s="138"/>
      <c r="AD68" s="138"/>
      <c r="AE68" s="138"/>
      <c r="AF68" s="138"/>
      <c r="AG68" s="138"/>
      <c r="AH68" s="138"/>
      <c r="AI68" s="138"/>
      <c r="AJ68" s="138"/>
    </row>
    <row r="69" spans="1:36" s="31" customFormat="1">
      <c r="A69" s="85">
        <f>IF(F69&lt;&gt;"",1+MAX($A$2:A68),"")</f>
        <v>39</v>
      </c>
      <c r="B69" s="214"/>
      <c r="C69" s="88"/>
      <c r="D69" s="98" t="s">
        <v>74</v>
      </c>
      <c r="E69" s="62">
        <f>0.084*5346/27</f>
        <v>16.632000000000001</v>
      </c>
      <c r="F69" s="55">
        <v>0.1</v>
      </c>
      <c r="G69" s="89">
        <f t="shared" si="40"/>
        <v>18.295200000000001</v>
      </c>
      <c r="H69" s="60" t="s">
        <v>52</v>
      </c>
      <c r="I69" s="104">
        <v>0.8</v>
      </c>
      <c r="J69" s="105">
        <f t="shared" si="44"/>
        <v>14.63616</v>
      </c>
      <c r="K69" s="106">
        <f>'LABOR SHEET'!$C$5</f>
        <v>45</v>
      </c>
      <c r="L69" s="107">
        <f t="shared" si="45"/>
        <v>36</v>
      </c>
      <c r="M69" s="107">
        <f t="shared" si="46"/>
        <v>658.62720000000002</v>
      </c>
      <c r="N69" s="107">
        <v>63</v>
      </c>
      <c r="O69" s="107">
        <f t="shared" si="41"/>
        <v>1152.5976000000001</v>
      </c>
      <c r="P69" s="107">
        <f t="shared" si="42"/>
        <v>99</v>
      </c>
      <c r="Q69" s="131">
        <f t="shared" si="43"/>
        <v>1811.2248</v>
      </c>
      <c r="R69" s="138"/>
      <c r="S69" s="138"/>
      <c r="T69" s="138"/>
      <c r="U69" s="138"/>
      <c r="V69" s="138"/>
      <c r="W69" s="138"/>
      <c r="X69" s="138"/>
      <c r="Y69" s="138"/>
      <c r="Z69" s="138"/>
      <c r="AA69" s="138"/>
      <c r="AB69" s="138"/>
      <c r="AC69" s="138"/>
      <c r="AD69" s="138"/>
      <c r="AE69" s="138"/>
      <c r="AF69" s="138"/>
      <c r="AG69" s="138"/>
      <c r="AH69" s="138"/>
      <c r="AI69" s="138"/>
      <c r="AJ69" s="138"/>
    </row>
    <row r="70" spans="1:36" s="31" customFormat="1">
      <c r="A70" s="85">
        <f>IF(F70&lt;&gt;"",1+MAX($A$2:A69),"")</f>
        <v>40</v>
      </c>
      <c r="B70" s="214"/>
      <c r="C70" s="88"/>
      <c r="D70" s="98" t="s">
        <v>75</v>
      </c>
      <c r="E70" s="60">
        <v>5346</v>
      </c>
      <c r="F70" s="55">
        <v>0.1</v>
      </c>
      <c r="G70" s="89">
        <f t="shared" si="40"/>
        <v>5880.6</v>
      </c>
      <c r="H70" s="60" t="s">
        <v>36</v>
      </c>
      <c r="I70" s="104">
        <v>7.0000000000000001E-3</v>
      </c>
      <c r="J70" s="105">
        <f t="shared" si="44"/>
        <v>41.164200000000001</v>
      </c>
      <c r="K70" s="106">
        <f>'LABOR SHEET'!$C$5</f>
        <v>45</v>
      </c>
      <c r="L70" s="107">
        <f t="shared" si="45"/>
        <v>0.315</v>
      </c>
      <c r="M70" s="107">
        <f t="shared" si="46"/>
        <v>1852.3889999999999</v>
      </c>
      <c r="N70" s="107">
        <v>0.4</v>
      </c>
      <c r="O70" s="107">
        <f t="shared" si="41"/>
        <v>2352.2399999999998</v>
      </c>
      <c r="P70" s="107">
        <f t="shared" si="42"/>
        <v>0.71499999999999997</v>
      </c>
      <c r="Q70" s="131">
        <f t="shared" si="43"/>
        <v>4204.6289999999999</v>
      </c>
      <c r="R70" s="138"/>
      <c r="S70" s="138"/>
      <c r="T70" s="138"/>
      <c r="U70" s="138"/>
      <c r="V70" s="138"/>
      <c r="W70" s="138"/>
      <c r="X70" s="138"/>
      <c r="Y70" s="138"/>
      <c r="Z70" s="138"/>
      <c r="AA70" s="138"/>
      <c r="AB70" s="138"/>
      <c r="AC70" s="138"/>
      <c r="AD70" s="138"/>
      <c r="AE70" s="138"/>
      <c r="AF70" s="138"/>
      <c r="AG70" s="138"/>
      <c r="AH70" s="138"/>
      <c r="AI70" s="138"/>
      <c r="AJ70" s="138"/>
    </row>
    <row r="71" spans="1:36" s="31" customFormat="1">
      <c r="A71" s="85">
        <f>IF(F71&lt;&gt;"",1+MAX($A$2:A70),"")</f>
        <v>41</v>
      </c>
      <c r="B71" s="214"/>
      <c r="C71" s="88"/>
      <c r="D71" s="98" t="s">
        <v>70</v>
      </c>
      <c r="E71" s="62">
        <f>2162*0.5</f>
        <v>1081</v>
      </c>
      <c r="F71" s="55">
        <v>0.1</v>
      </c>
      <c r="G71" s="89">
        <f t="shared" si="40"/>
        <v>1189.0999999999999</v>
      </c>
      <c r="H71" s="60" t="s">
        <v>36</v>
      </c>
      <c r="I71" s="104">
        <v>1.7999999999999999E-2</v>
      </c>
      <c r="J71" s="105">
        <f t="shared" si="44"/>
        <v>21.4038</v>
      </c>
      <c r="K71" s="106">
        <f>'LABOR SHEET'!$C$5</f>
        <v>45</v>
      </c>
      <c r="L71" s="107">
        <f t="shared" si="45"/>
        <v>0.81</v>
      </c>
      <c r="M71" s="107">
        <f t="shared" si="46"/>
        <v>963.17100000000005</v>
      </c>
      <c r="N71" s="107">
        <v>3</v>
      </c>
      <c r="O71" s="107">
        <f t="shared" si="41"/>
        <v>3567.3</v>
      </c>
      <c r="P71" s="107">
        <f t="shared" si="42"/>
        <v>3.81</v>
      </c>
      <c r="Q71" s="131">
        <f t="shared" si="43"/>
        <v>4530.4709999999995</v>
      </c>
      <c r="R71" s="138"/>
      <c r="S71" s="138"/>
      <c r="T71" s="138"/>
      <c r="U71" s="138"/>
      <c r="V71" s="138"/>
      <c r="W71" s="138"/>
      <c r="X71" s="138"/>
      <c r="Y71" s="138"/>
      <c r="Z71" s="138"/>
      <c r="AA71" s="138"/>
      <c r="AB71" s="138"/>
      <c r="AC71" s="138"/>
      <c r="AD71" s="138"/>
      <c r="AE71" s="138"/>
      <c r="AF71" s="138"/>
      <c r="AG71" s="138"/>
      <c r="AH71" s="138"/>
      <c r="AI71" s="138"/>
      <c r="AJ71" s="138"/>
    </row>
    <row r="72" spans="1:36" s="31" customFormat="1">
      <c r="A72" s="85"/>
      <c r="B72" s="214"/>
      <c r="C72" s="88"/>
      <c r="D72" s="98"/>
      <c r="E72" s="62"/>
      <c r="F72" s="55"/>
      <c r="G72" s="89"/>
      <c r="H72" s="60"/>
      <c r="I72" s="104"/>
      <c r="J72" s="105"/>
      <c r="K72" s="106"/>
      <c r="L72" s="107"/>
      <c r="M72" s="107"/>
      <c r="N72" s="107"/>
      <c r="O72" s="107"/>
      <c r="P72" s="107"/>
      <c r="Q72" s="131"/>
      <c r="R72" s="138"/>
      <c r="S72" s="138"/>
      <c r="T72" s="138"/>
      <c r="U72" s="138"/>
      <c r="V72" s="138"/>
      <c r="W72" s="138"/>
      <c r="X72" s="138"/>
      <c r="Y72" s="138"/>
      <c r="Z72" s="138"/>
      <c r="AA72" s="138"/>
      <c r="AB72" s="138"/>
      <c r="AC72" s="138"/>
      <c r="AD72" s="138"/>
      <c r="AE72" s="138"/>
      <c r="AF72" s="138"/>
      <c r="AG72" s="138"/>
      <c r="AH72" s="138"/>
      <c r="AI72" s="138"/>
      <c r="AJ72" s="138"/>
    </row>
    <row r="73" spans="1:36" s="31" customFormat="1">
      <c r="A73" s="85">
        <f>IF(F73&lt;&gt;"",1+MAX($A$2:A72),"")</f>
        <v>42</v>
      </c>
      <c r="B73" s="214"/>
      <c r="C73" s="88"/>
      <c r="D73" s="80" t="s">
        <v>76</v>
      </c>
      <c r="E73" s="62">
        <f>834*0.34/27</f>
        <v>10.502222222222199</v>
      </c>
      <c r="F73" s="55">
        <v>0.1</v>
      </c>
      <c r="G73" s="89">
        <f t="shared" ref="G73:G78" si="47">E73*(1+F73)</f>
        <v>11.552444444444401</v>
      </c>
      <c r="H73" s="60" t="s">
        <v>52</v>
      </c>
      <c r="I73" s="104">
        <v>2.6</v>
      </c>
      <c r="J73" s="105">
        <f>+I73*G73</f>
        <v>30.036355555555399</v>
      </c>
      <c r="K73" s="106">
        <f>'LABOR SHEET'!$C$5</f>
        <v>45</v>
      </c>
      <c r="L73" s="107">
        <f>I73*K73</f>
        <v>117</v>
      </c>
      <c r="M73" s="107">
        <f>K73*J73</f>
        <v>1351.63599999999</v>
      </c>
      <c r="N73" s="107">
        <v>198</v>
      </c>
      <c r="O73" s="107">
        <f>N73*G73</f>
        <v>2287.38399999999</v>
      </c>
      <c r="P73" s="107">
        <f>(I73*K73)+N73</f>
        <v>315</v>
      </c>
      <c r="Q73" s="131">
        <f>P73*G73</f>
        <v>3639.01999999999</v>
      </c>
      <c r="R73" s="138"/>
      <c r="S73" s="138"/>
      <c r="T73" s="138"/>
      <c r="U73" s="138"/>
      <c r="V73" s="138"/>
      <c r="W73" s="138"/>
      <c r="X73" s="138"/>
      <c r="Y73" s="138"/>
      <c r="Z73" s="138"/>
      <c r="AA73" s="138"/>
      <c r="AB73" s="138"/>
      <c r="AC73" s="138"/>
      <c r="AD73" s="138"/>
      <c r="AE73" s="138"/>
      <c r="AF73" s="138"/>
      <c r="AG73" s="138"/>
      <c r="AH73" s="138"/>
      <c r="AI73" s="138"/>
      <c r="AJ73" s="138"/>
    </row>
    <row r="74" spans="1:36" s="31" customFormat="1">
      <c r="A74" s="85">
        <f>IF(F74&lt;&gt;"",1+MAX($A$2:A73),"")</f>
        <v>43</v>
      </c>
      <c r="B74" s="214"/>
      <c r="C74" s="88"/>
      <c r="D74" s="98" t="s">
        <v>77</v>
      </c>
      <c r="E74" s="62">
        <f>834*0.376</f>
        <v>313.584</v>
      </c>
      <c r="F74" s="61">
        <v>0.05</v>
      </c>
      <c r="G74" s="89">
        <f t="shared" si="47"/>
        <v>329.26319999999998</v>
      </c>
      <c r="H74" s="60" t="s">
        <v>78</v>
      </c>
      <c r="I74" s="104">
        <v>1.0999999999999999E-2</v>
      </c>
      <c r="J74" s="105">
        <f t="shared" ref="J74:J78" si="48">+I74*G74</f>
        <v>3.6218952</v>
      </c>
      <c r="K74" s="106">
        <f>'LABOR SHEET'!$C$5</f>
        <v>45</v>
      </c>
      <c r="L74" s="107">
        <f t="shared" ref="L74:L78" si="49">I74*K74</f>
        <v>0.495</v>
      </c>
      <c r="M74" s="107">
        <f t="shared" ref="M74:M78" si="50">K74*J74</f>
        <v>162.98528400000001</v>
      </c>
      <c r="N74" s="107">
        <v>1</v>
      </c>
      <c r="O74" s="107">
        <f t="shared" ref="O74:O78" si="51">N74*G74</f>
        <v>329.26319999999998</v>
      </c>
      <c r="P74" s="107">
        <f t="shared" ref="P74:P78" si="52">(I74*K74)+N74</f>
        <v>1.4950000000000001</v>
      </c>
      <c r="Q74" s="131">
        <f t="shared" ref="Q74:Q78" si="53">P74*G74</f>
        <v>492.24848400000002</v>
      </c>
      <c r="R74" s="138"/>
      <c r="S74" s="138"/>
      <c r="T74" s="138"/>
      <c r="U74" s="138"/>
      <c r="V74" s="138"/>
      <c r="W74" s="138"/>
      <c r="X74" s="138"/>
      <c r="Y74" s="138"/>
      <c r="Z74" s="138"/>
      <c r="AA74" s="138"/>
      <c r="AB74" s="138"/>
      <c r="AC74" s="138"/>
      <c r="AD74" s="138"/>
      <c r="AE74" s="138"/>
      <c r="AF74" s="138"/>
      <c r="AG74" s="138"/>
      <c r="AH74" s="138"/>
      <c r="AI74" s="138"/>
      <c r="AJ74" s="138"/>
    </row>
    <row r="75" spans="1:36" s="31" customFormat="1">
      <c r="A75" s="85">
        <f>IF(F75&lt;&gt;"",1+MAX($A$2:A74),"")</f>
        <v>44</v>
      </c>
      <c r="B75" s="214"/>
      <c r="C75" s="88"/>
      <c r="D75" s="98" t="s">
        <v>79</v>
      </c>
      <c r="E75" s="62">
        <f>0.376*834</f>
        <v>313.584</v>
      </c>
      <c r="F75" s="61">
        <v>0.05</v>
      </c>
      <c r="G75" s="89">
        <f t="shared" si="47"/>
        <v>329.26319999999998</v>
      </c>
      <c r="H75" s="60" t="s">
        <v>78</v>
      </c>
      <c r="I75" s="104">
        <v>1.0999999999999999E-2</v>
      </c>
      <c r="J75" s="105">
        <f t="shared" si="48"/>
        <v>3.6218952</v>
      </c>
      <c r="K75" s="106">
        <f>'LABOR SHEET'!$C$5</f>
        <v>45</v>
      </c>
      <c r="L75" s="107">
        <f t="shared" si="49"/>
        <v>0.495</v>
      </c>
      <c r="M75" s="107">
        <f t="shared" si="50"/>
        <v>162.98528400000001</v>
      </c>
      <c r="N75" s="107">
        <v>1</v>
      </c>
      <c r="O75" s="107">
        <f t="shared" si="51"/>
        <v>329.26319999999998</v>
      </c>
      <c r="P75" s="107">
        <f t="shared" si="52"/>
        <v>1.4950000000000001</v>
      </c>
      <c r="Q75" s="131">
        <f t="shared" si="53"/>
        <v>492.24848400000002</v>
      </c>
      <c r="R75" s="138"/>
      <c r="S75" s="138"/>
      <c r="T75" s="138"/>
      <c r="U75" s="138"/>
      <c r="V75" s="138"/>
      <c r="W75" s="138"/>
      <c r="X75" s="138"/>
      <c r="Y75" s="138"/>
      <c r="Z75" s="138"/>
      <c r="AA75" s="138"/>
      <c r="AB75" s="138"/>
      <c r="AC75" s="138"/>
      <c r="AD75" s="138"/>
      <c r="AE75" s="138"/>
      <c r="AF75" s="138"/>
      <c r="AG75" s="138"/>
      <c r="AH75" s="138"/>
      <c r="AI75" s="138"/>
      <c r="AJ75" s="138"/>
    </row>
    <row r="76" spans="1:36" s="31" customFormat="1">
      <c r="A76" s="85">
        <f>IF(F76&lt;&gt;"",1+MAX($A$2:A75),"")</f>
        <v>45</v>
      </c>
      <c r="B76" s="214"/>
      <c r="C76" s="88"/>
      <c r="D76" s="98" t="s">
        <v>80</v>
      </c>
      <c r="E76" s="62">
        <f>0.16*834/27</f>
        <v>4.9422222222222203</v>
      </c>
      <c r="F76" s="55">
        <v>0.1</v>
      </c>
      <c r="G76" s="89">
        <f t="shared" si="47"/>
        <v>5.4364444444444402</v>
      </c>
      <c r="H76" s="60" t="s">
        <v>52</v>
      </c>
      <c r="I76" s="104">
        <v>0.8</v>
      </c>
      <c r="J76" s="105">
        <f t="shared" si="48"/>
        <v>4.3491555555555497</v>
      </c>
      <c r="K76" s="106">
        <f>'LABOR SHEET'!$C$5</f>
        <v>45</v>
      </c>
      <c r="L76" s="107">
        <f t="shared" si="49"/>
        <v>36</v>
      </c>
      <c r="M76" s="107">
        <f t="shared" si="50"/>
        <v>195.71199999999999</v>
      </c>
      <c r="N76" s="107">
        <v>63</v>
      </c>
      <c r="O76" s="107">
        <f t="shared" si="51"/>
        <v>342.49599999999998</v>
      </c>
      <c r="P76" s="107">
        <f t="shared" si="52"/>
        <v>99</v>
      </c>
      <c r="Q76" s="131">
        <f t="shared" si="53"/>
        <v>538.20799999999997</v>
      </c>
      <c r="R76" s="138"/>
      <c r="S76" s="138"/>
      <c r="T76" s="138"/>
      <c r="U76" s="138"/>
      <c r="V76" s="138"/>
      <c r="W76" s="138"/>
      <c r="X76" s="138"/>
      <c r="Y76" s="138"/>
      <c r="Z76" s="138"/>
      <c r="AA76" s="138"/>
      <c r="AB76" s="138"/>
      <c r="AC76" s="138"/>
      <c r="AD76" s="138"/>
      <c r="AE76" s="138"/>
      <c r="AF76" s="138"/>
      <c r="AG76" s="138"/>
      <c r="AH76" s="138"/>
      <c r="AI76" s="138"/>
      <c r="AJ76" s="138"/>
    </row>
    <row r="77" spans="1:36" s="31" customFormat="1">
      <c r="A77" s="85">
        <f>IF(F77&lt;&gt;"",1+MAX($A$2:A76),"")</f>
        <v>46</v>
      </c>
      <c r="B77" s="214"/>
      <c r="C77" s="88"/>
      <c r="D77" s="98" t="s">
        <v>75</v>
      </c>
      <c r="E77" s="60">
        <v>834</v>
      </c>
      <c r="F77" s="55">
        <v>0.1</v>
      </c>
      <c r="G77" s="89">
        <f t="shared" si="47"/>
        <v>917.4</v>
      </c>
      <c r="H77" s="60" t="s">
        <v>36</v>
      </c>
      <c r="I77" s="104">
        <v>7.0000000000000001E-3</v>
      </c>
      <c r="J77" s="105">
        <f t="shared" si="48"/>
        <v>6.4218000000000002</v>
      </c>
      <c r="K77" s="106">
        <f>'LABOR SHEET'!$C$5</f>
        <v>45</v>
      </c>
      <c r="L77" s="107">
        <f t="shared" si="49"/>
        <v>0.315</v>
      </c>
      <c r="M77" s="107">
        <f t="shared" si="50"/>
        <v>288.98099999999999</v>
      </c>
      <c r="N77" s="107">
        <v>0.4</v>
      </c>
      <c r="O77" s="107">
        <f t="shared" si="51"/>
        <v>366.96</v>
      </c>
      <c r="P77" s="107">
        <f t="shared" si="52"/>
        <v>0.71499999999999997</v>
      </c>
      <c r="Q77" s="131">
        <f t="shared" si="53"/>
        <v>655.94100000000003</v>
      </c>
      <c r="R77" s="138"/>
      <c r="S77" s="138"/>
      <c r="T77" s="138"/>
      <c r="U77" s="138"/>
      <c r="V77" s="138"/>
      <c r="W77" s="138"/>
      <c r="X77" s="138"/>
      <c r="Y77" s="138"/>
      <c r="Z77" s="138"/>
      <c r="AA77" s="138"/>
      <c r="AB77" s="138"/>
      <c r="AC77" s="138"/>
      <c r="AD77" s="138"/>
      <c r="AE77" s="138"/>
      <c r="AF77" s="138"/>
      <c r="AG77" s="138"/>
      <c r="AH77" s="138"/>
      <c r="AI77" s="138"/>
      <c r="AJ77" s="138"/>
    </row>
    <row r="78" spans="1:36" s="31" customFormat="1">
      <c r="A78" s="85">
        <f>IF(F78&lt;&gt;"",1+MAX($A$2:A77),"")</f>
        <v>47</v>
      </c>
      <c r="B78" s="214"/>
      <c r="C78" s="88"/>
      <c r="D78" s="98" t="s">
        <v>70</v>
      </c>
      <c r="E78" s="62">
        <f>310*0.5</f>
        <v>155</v>
      </c>
      <c r="F78" s="55">
        <v>0.1</v>
      </c>
      <c r="G78" s="89">
        <f t="shared" si="47"/>
        <v>170.5</v>
      </c>
      <c r="H78" s="60" t="s">
        <v>36</v>
      </c>
      <c r="I78" s="104">
        <v>1.7999999999999999E-2</v>
      </c>
      <c r="J78" s="105">
        <f t="shared" si="48"/>
        <v>3.069</v>
      </c>
      <c r="K78" s="106">
        <f>'LABOR SHEET'!$C$5</f>
        <v>45</v>
      </c>
      <c r="L78" s="107">
        <f t="shared" si="49"/>
        <v>0.81</v>
      </c>
      <c r="M78" s="107">
        <f t="shared" si="50"/>
        <v>138.10499999999999</v>
      </c>
      <c r="N78" s="107">
        <v>3</v>
      </c>
      <c r="O78" s="107">
        <f t="shared" si="51"/>
        <v>511.5</v>
      </c>
      <c r="P78" s="107">
        <f t="shared" si="52"/>
        <v>3.81</v>
      </c>
      <c r="Q78" s="131">
        <f t="shared" si="53"/>
        <v>649.60500000000002</v>
      </c>
      <c r="R78" s="138"/>
      <c r="S78" s="138"/>
      <c r="T78" s="138"/>
      <c r="U78" s="138"/>
      <c r="V78" s="138"/>
      <c r="W78" s="138"/>
      <c r="X78" s="138"/>
      <c r="Y78" s="138"/>
      <c r="Z78" s="138"/>
      <c r="AA78" s="138"/>
      <c r="AB78" s="138"/>
      <c r="AC78" s="138"/>
      <c r="AD78" s="138"/>
      <c r="AE78" s="138"/>
      <c r="AF78" s="138"/>
      <c r="AG78" s="138"/>
      <c r="AH78" s="138"/>
      <c r="AI78" s="138"/>
      <c r="AJ78" s="138"/>
    </row>
    <row r="79" spans="1:36" s="31" customFormat="1">
      <c r="A79" s="85"/>
      <c r="B79" s="214"/>
      <c r="C79" s="88"/>
      <c r="D79" s="98"/>
      <c r="E79" s="62"/>
      <c r="F79" s="55"/>
      <c r="G79" s="89"/>
      <c r="H79" s="60"/>
      <c r="I79" s="104"/>
      <c r="J79" s="105"/>
      <c r="K79" s="106"/>
      <c r="L79" s="107"/>
      <c r="M79" s="107"/>
      <c r="N79" s="107"/>
      <c r="O79" s="107"/>
      <c r="P79" s="107"/>
      <c r="Q79" s="131"/>
      <c r="R79" s="138"/>
      <c r="S79" s="138"/>
      <c r="T79" s="138"/>
      <c r="U79" s="138"/>
      <c r="V79" s="138"/>
      <c r="W79" s="138"/>
      <c r="X79" s="138"/>
      <c r="Y79" s="138"/>
      <c r="Z79" s="138"/>
      <c r="AA79" s="138"/>
      <c r="AB79" s="138"/>
      <c r="AC79" s="138"/>
      <c r="AD79" s="138"/>
      <c r="AE79" s="138"/>
      <c r="AF79" s="138"/>
      <c r="AG79" s="138"/>
      <c r="AH79" s="138"/>
      <c r="AI79" s="138"/>
      <c r="AJ79" s="138"/>
    </row>
    <row r="80" spans="1:36" s="31" customFormat="1">
      <c r="A80" s="85" t="str">
        <f>IF(F80&lt;&gt;"",1+MAX($A$2:A78),"")</f>
        <v/>
      </c>
      <c r="B80" s="214"/>
      <c r="C80" s="88"/>
      <c r="D80" s="97" t="s">
        <v>81</v>
      </c>
      <c r="E80" s="60"/>
      <c r="F80" s="90"/>
      <c r="G80" s="89"/>
      <c r="H80" s="60"/>
      <c r="I80" s="104"/>
      <c r="J80" s="105"/>
      <c r="K80" s="106"/>
      <c r="L80" s="107"/>
      <c r="M80" s="107"/>
      <c r="N80" s="107"/>
      <c r="O80" s="107"/>
      <c r="P80" s="107"/>
      <c r="Q80" s="131"/>
      <c r="R80" s="138"/>
      <c r="S80" s="138"/>
      <c r="T80" s="138"/>
      <c r="U80" s="138"/>
      <c r="V80" s="138"/>
      <c r="W80" s="138"/>
      <c r="X80" s="138"/>
      <c r="Y80" s="138"/>
      <c r="Z80" s="138"/>
      <c r="AA80" s="138"/>
      <c r="AB80" s="138"/>
      <c r="AC80" s="138"/>
      <c r="AD80" s="138"/>
      <c r="AE80" s="138"/>
      <c r="AF80" s="138"/>
      <c r="AG80" s="138"/>
      <c r="AH80" s="138"/>
      <c r="AI80" s="138"/>
      <c r="AJ80" s="138"/>
    </row>
    <row r="81" spans="1:36" s="31" customFormat="1">
      <c r="A81" s="85">
        <f>IF(F81&lt;&gt;"",1+MAX($A$2:A80),"")</f>
        <v>48</v>
      </c>
      <c r="B81" s="214"/>
      <c r="C81" s="88"/>
      <c r="D81" s="80" t="s">
        <v>82</v>
      </c>
      <c r="E81" s="62">
        <f>0.5*0.75*2390/27</f>
        <v>33.1944444444444</v>
      </c>
      <c r="F81" s="55">
        <v>0.1</v>
      </c>
      <c r="G81" s="89">
        <f>E81*(1+F81)</f>
        <v>36.5138888888888</v>
      </c>
      <c r="H81" s="60" t="s">
        <v>52</v>
      </c>
      <c r="I81" s="104">
        <v>2.7</v>
      </c>
      <c r="J81" s="105">
        <f t="shared" ref="J81:J83" si="54">+I81*G81</f>
        <v>98.587499999999906</v>
      </c>
      <c r="K81" s="106">
        <f>'LABOR SHEET'!$C$5</f>
        <v>45</v>
      </c>
      <c r="L81" s="107">
        <f t="shared" ref="L81:L83" si="55">I81*K81</f>
        <v>121.5</v>
      </c>
      <c r="M81" s="107">
        <f t="shared" ref="M81:M83" si="56">K81*J81</f>
        <v>4436.43749999999</v>
      </c>
      <c r="N81" s="107">
        <v>180</v>
      </c>
      <c r="O81" s="107">
        <f>N81*G81</f>
        <v>6572.49999999999</v>
      </c>
      <c r="P81" s="107">
        <f>(I81*K81)+N81</f>
        <v>301.5</v>
      </c>
      <c r="Q81" s="131">
        <f>P81*G81</f>
        <v>11008.9375</v>
      </c>
      <c r="R81" s="138"/>
      <c r="S81" s="138"/>
      <c r="T81" s="138"/>
      <c r="U81" s="138"/>
      <c r="V81" s="138"/>
      <c r="W81" s="138"/>
      <c r="X81" s="138"/>
      <c r="Y81" s="138"/>
      <c r="Z81" s="138"/>
      <c r="AA81" s="138"/>
      <c r="AB81" s="138"/>
      <c r="AC81" s="138"/>
      <c r="AD81" s="138"/>
      <c r="AE81" s="138"/>
      <c r="AF81" s="138"/>
      <c r="AG81" s="138"/>
      <c r="AH81" s="138"/>
      <c r="AI81" s="138"/>
      <c r="AJ81" s="138"/>
    </row>
    <row r="82" spans="1:36" s="31" customFormat="1">
      <c r="A82" s="85">
        <f>IF(F82&lt;&gt;"",1+MAX($A$2:A81),"")</f>
        <v>49</v>
      </c>
      <c r="B82" s="214"/>
      <c r="C82" s="88"/>
      <c r="D82" s="98" t="s">
        <v>83</v>
      </c>
      <c r="E82" s="60">
        <f>2*2390*0.376</f>
        <v>1797.28</v>
      </c>
      <c r="F82" s="61">
        <v>0.05</v>
      </c>
      <c r="G82" s="89">
        <f>E82*(1+F82)</f>
        <v>1887.144</v>
      </c>
      <c r="H82" s="60" t="s">
        <v>78</v>
      </c>
      <c r="I82" s="104">
        <v>1.0999999999999999E-2</v>
      </c>
      <c r="J82" s="105">
        <f t="shared" si="54"/>
        <v>20.758583999999999</v>
      </c>
      <c r="K82" s="106">
        <f>'LABOR SHEET'!$C$5</f>
        <v>45</v>
      </c>
      <c r="L82" s="107">
        <f t="shared" si="55"/>
        <v>0.495</v>
      </c>
      <c r="M82" s="107">
        <f t="shared" si="56"/>
        <v>934.13628000000006</v>
      </c>
      <c r="N82" s="107">
        <v>1</v>
      </c>
      <c r="O82" s="107">
        <f>N82*G82</f>
        <v>1887.144</v>
      </c>
      <c r="P82" s="107">
        <f>(I82*K82)+N82</f>
        <v>1.4950000000000001</v>
      </c>
      <c r="Q82" s="131">
        <f>P82*G82</f>
        <v>2821.2802799999999</v>
      </c>
      <c r="R82" s="138"/>
      <c r="S82" s="138"/>
      <c r="T82" s="138"/>
      <c r="U82" s="138"/>
      <c r="V82" s="138"/>
      <c r="W82" s="138"/>
      <c r="X82" s="138"/>
      <c r="Y82" s="138"/>
      <c r="Z82" s="138"/>
      <c r="AA82" s="138"/>
      <c r="AB82" s="138"/>
      <c r="AC82" s="138"/>
      <c r="AD82" s="138"/>
      <c r="AE82" s="138"/>
      <c r="AF82" s="138"/>
      <c r="AG82" s="138"/>
      <c r="AH82" s="138"/>
      <c r="AI82" s="138"/>
      <c r="AJ82" s="138"/>
    </row>
    <row r="83" spans="1:36" s="31" customFormat="1">
      <c r="A83" s="85">
        <f>IF(F83&lt;&gt;"",1+MAX($A$2:A82),"")</f>
        <v>50</v>
      </c>
      <c r="B83" s="214"/>
      <c r="C83" s="88"/>
      <c r="D83" s="98" t="s">
        <v>70</v>
      </c>
      <c r="E83" s="62">
        <f>2390*0.5*2</f>
        <v>2390</v>
      </c>
      <c r="F83" s="55">
        <v>0.1</v>
      </c>
      <c r="G83" s="89">
        <f>E83*(1+F83)</f>
        <v>2629</v>
      </c>
      <c r="H83" s="60" t="s">
        <v>36</v>
      </c>
      <c r="I83" s="104">
        <v>1.7999999999999999E-2</v>
      </c>
      <c r="J83" s="105">
        <f t="shared" si="54"/>
        <v>47.322000000000003</v>
      </c>
      <c r="K83" s="106">
        <f>'LABOR SHEET'!$C$5</f>
        <v>45</v>
      </c>
      <c r="L83" s="107">
        <f t="shared" si="55"/>
        <v>0.81</v>
      </c>
      <c r="M83" s="107">
        <f t="shared" si="56"/>
        <v>2129.4899999999998</v>
      </c>
      <c r="N83" s="107">
        <v>3</v>
      </c>
      <c r="O83" s="107">
        <f>N83*G83</f>
        <v>7887</v>
      </c>
      <c r="P83" s="107">
        <f>(I83*K83)+N83</f>
        <v>3.81</v>
      </c>
      <c r="Q83" s="131">
        <f>P83*G83</f>
        <v>10016.49</v>
      </c>
      <c r="R83" s="138"/>
      <c r="S83" s="138"/>
      <c r="T83" s="138"/>
      <c r="U83" s="138"/>
      <c r="V83" s="138"/>
      <c r="W83" s="138"/>
      <c r="X83" s="138"/>
      <c r="Y83" s="138"/>
      <c r="Z83" s="138"/>
      <c r="AA83" s="138"/>
      <c r="AB83" s="138"/>
      <c r="AC83" s="138"/>
      <c r="AD83" s="138"/>
      <c r="AE83" s="138"/>
      <c r="AF83" s="138"/>
      <c r="AG83" s="138"/>
      <c r="AH83" s="138"/>
      <c r="AI83" s="138"/>
      <c r="AJ83" s="138"/>
    </row>
    <row r="84" spans="1:36" s="31" customFormat="1">
      <c r="A84" s="85"/>
      <c r="B84" s="214"/>
      <c r="C84" s="88"/>
      <c r="D84" s="98"/>
      <c r="E84" s="62"/>
      <c r="F84" s="55"/>
      <c r="G84" s="89"/>
      <c r="H84" s="60"/>
      <c r="I84" s="104"/>
      <c r="J84" s="105"/>
      <c r="K84" s="106"/>
      <c r="L84" s="107"/>
      <c r="M84" s="107"/>
      <c r="N84" s="107"/>
      <c r="O84" s="107"/>
      <c r="P84" s="107"/>
      <c r="Q84" s="131"/>
      <c r="R84" s="138"/>
      <c r="S84" s="138"/>
      <c r="T84" s="138"/>
      <c r="U84" s="138"/>
      <c r="V84" s="138"/>
      <c r="W84" s="138"/>
      <c r="X84" s="138"/>
      <c r="Y84" s="138"/>
      <c r="Z84" s="138"/>
      <c r="AA84" s="138"/>
      <c r="AB84" s="138"/>
      <c r="AC84" s="138"/>
      <c r="AD84" s="138"/>
      <c r="AE84" s="138"/>
      <c r="AF84" s="138"/>
      <c r="AG84" s="138"/>
      <c r="AH84" s="138"/>
      <c r="AI84" s="138"/>
      <c r="AJ84" s="138"/>
    </row>
    <row r="85" spans="1:36" s="31" customFormat="1">
      <c r="A85" s="85">
        <f>IF(F85&lt;&gt;"",1+MAX($A$2:A83),"")</f>
        <v>51</v>
      </c>
      <c r="B85" s="214"/>
      <c r="C85" s="88"/>
      <c r="D85" s="80" t="s">
        <v>84</v>
      </c>
      <c r="E85" s="62">
        <f>150*1.67*0.75/27</f>
        <v>6.9583333333333304</v>
      </c>
      <c r="F85" s="55">
        <v>0.1</v>
      </c>
      <c r="G85" s="89">
        <f>E85*(1+F85)</f>
        <v>7.6541666666666597</v>
      </c>
      <c r="H85" s="60" t="s">
        <v>52</v>
      </c>
      <c r="I85" s="104">
        <v>2.7</v>
      </c>
      <c r="J85" s="105">
        <f t="shared" ref="J85:J87" si="57">+I85*G85</f>
        <v>20.666250000000002</v>
      </c>
      <c r="K85" s="106">
        <f>'LABOR SHEET'!$C$5</f>
        <v>45</v>
      </c>
      <c r="L85" s="107">
        <f t="shared" ref="L85:L87" si="58">I85*K85</f>
        <v>121.5</v>
      </c>
      <c r="M85" s="107">
        <f t="shared" ref="M85:M87" si="59">K85*J85</f>
        <v>929.98125000000005</v>
      </c>
      <c r="N85" s="107">
        <v>180</v>
      </c>
      <c r="O85" s="107">
        <f>N85*G85</f>
        <v>1377.75</v>
      </c>
      <c r="P85" s="107">
        <f>(I85*K85)+N85</f>
        <v>301.5</v>
      </c>
      <c r="Q85" s="131">
        <f>P85*G85</f>
        <v>2307.7312499999998</v>
      </c>
      <c r="R85" s="138"/>
      <c r="S85" s="138"/>
      <c r="T85" s="138"/>
      <c r="U85" s="138"/>
      <c r="V85" s="138"/>
      <c r="W85" s="138"/>
      <c r="X85" s="138"/>
      <c r="Y85" s="138"/>
      <c r="Z85" s="138"/>
      <c r="AA85" s="138"/>
      <c r="AB85" s="138"/>
      <c r="AC85" s="138"/>
      <c r="AD85" s="138"/>
      <c r="AE85" s="138"/>
      <c r="AF85" s="138"/>
      <c r="AG85" s="138"/>
      <c r="AH85" s="138"/>
      <c r="AI85" s="138"/>
      <c r="AJ85" s="138"/>
    </row>
    <row r="86" spans="1:36" s="31" customFormat="1">
      <c r="A86" s="85">
        <f>IF(F86&lt;&gt;"",1+MAX($A$2:A85),"")</f>
        <v>52</v>
      </c>
      <c r="B86" s="214"/>
      <c r="C86" s="88"/>
      <c r="D86" s="98" t="s">
        <v>85</v>
      </c>
      <c r="E86" s="60">
        <f>150*2*0.376</f>
        <v>112.8</v>
      </c>
      <c r="F86" s="61">
        <v>0.05</v>
      </c>
      <c r="G86" s="89">
        <f>E86*(1+F86)</f>
        <v>118.44</v>
      </c>
      <c r="H86" s="60" t="s">
        <v>78</v>
      </c>
      <c r="I86" s="104">
        <v>1.0999999999999999E-2</v>
      </c>
      <c r="J86" s="105">
        <f t="shared" si="57"/>
        <v>1.30284</v>
      </c>
      <c r="K86" s="106">
        <f>'LABOR SHEET'!$C$5</f>
        <v>45</v>
      </c>
      <c r="L86" s="107">
        <f t="shared" si="58"/>
        <v>0.495</v>
      </c>
      <c r="M86" s="107">
        <f t="shared" si="59"/>
        <v>58.627800000000001</v>
      </c>
      <c r="N86" s="107">
        <v>0.9</v>
      </c>
      <c r="O86" s="107">
        <f>N86*G86</f>
        <v>106.596</v>
      </c>
      <c r="P86" s="107">
        <f>(I86*K86)+N86</f>
        <v>1.395</v>
      </c>
      <c r="Q86" s="131">
        <f>P86*G86</f>
        <v>165.22380000000001</v>
      </c>
      <c r="R86" s="138"/>
      <c r="S86" s="138"/>
      <c r="T86" s="138"/>
      <c r="U86" s="138"/>
      <c r="V86" s="138"/>
      <c r="W86" s="138"/>
      <c r="X86" s="138"/>
      <c r="Y86" s="138"/>
      <c r="Z86" s="138"/>
      <c r="AA86" s="138"/>
      <c r="AB86" s="138"/>
      <c r="AC86" s="138"/>
      <c r="AD86" s="138"/>
      <c r="AE86" s="138"/>
      <c r="AF86" s="138"/>
      <c r="AG86" s="138"/>
      <c r="AH86" s="138"/>
      <c r="AI86" s="138"/>
      <c r="AJ86" s="138"/>
    </row>
    <row r="87" spans="1:36" s="31" customFormat="1">
      <c r="A87" s="85">
        <f>IF(F87&lt;&gt;"",1+MAX($A$2:A86),"")</f>
        <v>53</v>
      </c>
      <c r="B87" s="214"/>
      <c r="C87" s="88"/>
      <c r="D87" s="98" t="s">
        <v>70</v>
      </c>
      <c r="E87" s="62">
        <f>150*1.67*2</f>
        <v>501</v>
      </c>
      <c r="F87" s="55">
        <v>0.1</v>
      </c>
      <c r="G87" s="89">
        <f>E87*(1+F87)</f>
        <v>551.1</v>
      </c>
      <c r="H87" s="60" t="s">
        <v>36</v>
      </c>
      <c r="I87" s="104">
        <v>1.7999999999999999E-2</v>
      </c>
      <c r="J87" s="105">
        <f t="shared" si="57"/>
        <v>9.9198000000000004</v>
      </c>
      <c r="K87" s="106">
        <f>'LABOR SHEET'!$C$5</f>
        <v>45</v>
      </c>
      <c r="L87" s="107">
        <f t="shared" si="58"/>
        <v>0.81</v>
      </c>
      <c r="M87" s="107">
        <f t="shared" si="59"/>
        <v>446.39100000000002</v>
      </c>
      <c r="N87" s="107">
        <v>3</v>
      </c>
      <c r="O87" s="107">
        <f>N87*G87</f>
        <v>1653.3</v>
      </c>
      <c r="P87" s="107">
        <f>(I87*K87)+N87</f>
        <v>3.81</v>
      </c>
      <c r="Q87" s="131">
        <f>P87*G87</f>
        <v>2099.6909999999998</v>
      </c>
      <c r="R87" s="138"/>
      <c r="S87" s="138"/>
      <c r="T87" s="138"/>
      <c r="U87" s="138"/>
      <c r="V87" s="138"/>
      <c r="W87" s="138"/>
      <c r="X87" s="138"/>
      <c r="Y87" s="138"/>
      <c r="Z87" s="138"/>
      <c r="AA87" s="138"/>
      <c r="AB87" s="138"/>
      <c r="AC87" s="138"/>
      <c r="AD87" s="138"/>
      <c r="AE87" s="138"/>
      <c r="AF87" s="138"/>
      <c r="AG87" s="138"/>
      <c r="AH87" s="138"/>
      <c r="AI87" s="138"/>
      <c r="AJ87" s="138"/>
    </row>
    <row r="88" spans="1:36" s="31" customFormat="1">
      <c r="A88" s="85"/>
      <c r="B88" s="214"/>
      <c r="C88" s="88"/>
      <c r="D88" s="98"/>
      <c r="E88" s="62"/>
      <c r="F88" s="55"/>
      <c r="G88" s="89"/>
      <c r="H88" s="60"/>
      <c r="I88" s="104"/>
      <c r="J88" s="105"/>
      <c r="K88" s="106"/>
      <c r="L88" s="107"/>
      <c r="M88" s="107"/>
      <c r="N88" s="107"/>
      <c r="O88" s="107"/>
      <c r="P88" s="107"/>
      <c r="Q88" s="131"/>
      <c r="R88" s="138"/>
      <c r="S88" s="138"/>
      <c r="T88" s="138"/>
      <c r="U88" s="138"/>
      <c r="V88" s="138"/>
      <c r="W88" s="138"/>
      <c r="X88" s="138"/>
      <c r="Y88" s="138"/>
      <c r="Z88" s="138"/>
      <c r="AA88" s="138"/>
      <c r="AB88" s="138"/>
      <c r="AC88" s="138"/>
      <c r="AD88" s="138"/>
      <c r="AE88" s="138"/>
      <c r="AF88" s="138"/>
      <c r="AG88" s="138"/>
      <c r="AH88" s="138"/>
      <c r="AI88" s="138"/>
      <c r="AJ88" s="138"/>
    </row>
    <row r="89" spans="1:36" s="31" customFormat="1">
      <c r="A89" s="85">
        <f>IF(F89&lt;&gt;"",1+MAX($A$2:A88),"")</f>
        <v>54</v>
      </c>
      <c r="B89" s="214"/>
      <c r="C89" s="88"/>
      <c r="D89" s="80" t="s">
        <v>86</v>
      </c>
      <c r="E89" s="140">
        <f>0.75*1*156/27</f>
        <v>4.3333333333333304</v>
      </c>
      <c r="F89" s="55">
        <v>0.1</v>
      </c>
      <c r="G89" s="89">
        <f t="shared" ref="G89:G91" si="60">E89*(1+F89)</f>
        <v>4.7666666666666702</v>
      </c>
      <c r="H89" s="60" t="s">
        <v>52</v>
      </c>
      <c r="I89" s="104">
        <v>2.7</v>
      </c>
      <c r="J89" s="105">
        <f t="shared" ref="J89:J91" si="61">+I89*G89</f>
        <v>12.87</v>
      </c>
      <c r="K89" s="106">
        <f>'LABOR SHEET'!$C$5</f>
        <v>45</v>
      </c>
      <c r="L89" s="107">
        <f t="shared" ref="L89:L91" si="62">I89*K89</f>
        <v>121.5</v>
      </c>
      <c r="M89" s="107">
        <f t="shared" ref="M89:M91" si="63">K89*J89</f>
        <v>579.15</v>
      </c>
      <c r="N89" s="107">
        <v>180</v>
      </c>
      <c r="O89" s="107">
        <f t="shared" ref="O89:O91" si="64">N89*G89</f>
        <v>858.00000000000102</v>
      </c>
      <c r="P89" s="107">
        <f t="shared" ref="P89:P91" si="65">(I89*K89)+N89</f>
        <v>301.5</v>
      </c>
      <c r="Q89" s="131">
        <f t="shared" ref="Q89:Q91" si="66">P89*G89</f>
        <v>1437.15</v>
      </c>
      <c r="R89" s="138"/>
      <c r="S89" s="138"/>
      <c r="T89" s="138"/>
      <c r="U89" s="138"/>
      <c r="V89" s="138"/>
      <c r="W89" s="138"/>
      <c r="X89" s="138"/>
      <c r="Y89" s="138"/>
      <c r="Z89" s="138"/>
      <c r="AA89" s="138"/>
      <c r="AB89" s="138"/>
      <c r="AC89" s="138"/>
      <c r="AD89" s="138"/>
      <c r="AE89" s="138"/>
      <c r="AF89" s="138"/>
      <c r="AG89" s="138"/>
      <c r="AH89" s="138"/>
      <c r="AI89" s="138"/>
      <c r="AJ89" s="138"/>
    </row>
    <row r="90" spans="1:36" s="31" customFormat="1">
      <c r="A90" s="85">
        <f>IF(F90&lt;&gt;"",1+MAX($A$2:A89),"")</f>
        <v>55</v>
      </c>
      <c r="B90" s="214"/>
      <c r="C90" s="88"/>
      <c r="D90" s="98" t="s">
        <v>87</v>
      </c>
      <c r="E90" s="60">
        <f>156/1.5*1.5</f>
        <v>156</v>
      </c>
      <c r="F90" s="61">
        <v>0.05</v>
      </c>
      <c r="G90" s="89">
        <f t="shared" si="60"/>
        <v>163.80000000000001</v>
      </c>
      <c r="H90" s="60" t="s">
        <v>38</v>
      </c>
      <c r="I90" s="104">
        <v>1.0999999999999999E-2</v>
      </c>
      <c r="J90" s="105">
        <f t="shared" si="61"/>
        <v>1.8018000000000001</v>
      </c>
      <c r="K90" s="106">
        <f>'LABOR SHEET'!$C$5</f>
        <v>45</v>
      </c>
      <c r="L90" s="107">
        <f t="shared" si="62"/>
        <v>0.495</v>
      </c>
      <c r="M90" s="107">
        <f t="shared" si="63"/>
        <v>81.081000000000003</v>
      </c>
      <c r="N90" s="107">
        <v>1</v>
      </c>
      <c r="O90" s="107">
        <f t="shared" si="64"/>
        <v>163.80000000000001</v>
      </c>
      <c r="P90" s="107">
        <f t="shared" si="65"/>
        <v>1.4950000000000001</v>
      </c>
      <c r="Q90" s="131">
        <f t="shared" si="66"/>
        <v>244.881</v>
      </c>
      <c r="R90" s="138"/>
      <c r="S90" s="138"/>
      <c r="T90" s="138"/>
      <c r="U90" s="138"/>
      <c r="V90" s="138"/>
      <c r="W90" s="138"/>
      <c r="X90" s="138"/>
      <c r="Y90" s="138"/>
      <c r="Z90" s="138"/>
      <c r="AA90" s="138"/>
      <c r="AB90" s="138"/>
      <c r="AC90" s="138"/>
      <c r="AD90" s="138"/>
      <c r="AE90" s="138"/>
      <c r="AF90" s="138"/>
      <c r="AG90" s="138"/>
      <c r="AH90" s="138"/>
      <c r="AI90" s="138"/>
      <c r="AJ90" s="138"/>
    </row>
    <row r="91" spans="1:36" s="31" customFormat="1">
      <c r="A91" s="85">
        <f>IF(F91&lt;&gt;"",1+MAX($A$2:A90),"")</f>
        <v>56</v>
      </c>
      <c r="B91" s="214"/>
      <c r="C91" s="88"/>
      <c r="D91" s="98" t="s">
        <v>70</v>
      </c>
      <c r="E91" s="62">
        <f>156*1*2</f>
        <v>312</v>
      </c>
      <c r="F91" s="55">
        <v>0.1</v>
      </c>
      <c r="G91" s="89">
        <f t="shared" si="60"/>
        <v>343.2</v>
      </c>
      <c r="H91" s="60" t="s">
        <v>36</v>
      </c>
      <c r="I91" s="104">
        <v>1.7999999999999999E-2</v>
      </c>
      <c r="J91" s="105">
        <f t="shared" si="61"/>
        <v>6.1776</v>
      </c>
      <c r="K91" s="106">
        <f>'LABOR SHEET'!$C$5</f>
        <v>45</v>
      </c>
      <c r="L91" s="107">
        <f t="shared" si="62"/>
        <v>0.81</v>
      </c>
      <c r="M91" s="107">
        <f t="shared" si="63"/>
        <v>277.99200000000002</v>
      </c>
      <c r="N91" s="107">
        <v>3</v>
      </c>
      <c r="O91" s="107">
        <f t="shared" si="64"/>
        <v>1029.5999999999999</v>
      </c>
      <c r="P91" s="107">
        <f t="shared" si="65"/>
        <v>3.81</v>
      </c>
      <c r="Q91" s="131">
        <f t="shared" si="66"/>
        <v>1307.5920000000001</v>
      </c>
      <c r="R91" s="138"/>
      <c r="S91" s="138"/>
      <c r="T91" s="138"/>
      <c r="U91" s="138"/>
      <c r="V91" s="138"/>
      <c r="W91" s="138"/>
      <c r="X91" s="138"/>
      <c r="Y91" s="138"/>
      <c r="Z91" s="138"/>
      <c r="AA91" s="138"/>
      <c r="AB91" s="138"/>
      <c r="AC91" s="138"/>
      <c r="AD91" s="138"/>
      <c r="AE91" s="138"/>
      <c r="AF91" s="138"/>
      <c r="AG91" s="138"/>
      <c r="AH91" s="138"/>
      <c r="AI91" s="138"/>
      <c r="AJ91" s="138"/>
    </row>
    <row r="92" spans="1:36" s="31" customFormat="1">
      <c r="A92" s="85"/>
      <c r="B92" s="214"/>
      <c r="C92" s="88"/>
      <c r="D92" s="98"/>
      <c r="E92" s="62"/>
      <c r="F92" s="55"/>
      <c r="G92" s="89"/>
      <c r="H92" s="60"/>
      <c r="I92" s="104"/>
      <c r="J92" s="105"/>
      <c r="K92" s="106"/>
      <c r="L92" s="107"/>
      <c r="M92" s="107"/>
      <c r="N92" s="107"/>
      <c r="O92" s="107"/>
      <c r="P92" s="107"/>
      <c r="Q92" s="131"/>
      <c r="R92" s="138"/>
      <c r="S92" s="138"/>
      <c r="T92" s="138"/>
      <c r="U92" s="138"/>
      <c r="V92" s="138"/>
      <c r="W92" s="138"/>
      <c r="X92" s="138"/>
      <c r="Y92" s="138"/>
      <c r="Z92" s="138"/>
      <c r="AA92" s="138"/>
      <c r="AB92" s="138"/>
      <c r="AC92" s="138"/>
      <c r="AD92" s="138"/>
      <c r="AE92" s="138"/>
      <c r="AF92" s="138"/>
      <c r="AG92" s="138"/>
      <c r="AH92" s="138"/>
      <c r="AI92" s="138"/>
      <c r="AJ92" s="138"/>
    </row>
    <row r="93" spans="1:36" s="31" customFormat="1">
      <c r="A93" s="85" t="str">
        <f>IF(F93&lt;&gt;"",1+MAX($A$2:A91),"")</f>
        <v/>
      </c>
      <c r="B93" s="214"/>
      <c r="C93" s="88"/>
      <c r="D93" s="97" t="s">
        <v>88</v>
      </c>
      <c r="E93" s="60"/>
      <c r="F93" s="90"/>
      <c r="G93" s="89"/>
      <c r="H93" s="60"/>
      <c r="I93" s="104"/>
      <c r="J93" s="105"/>
      <c r="K93" s="106"/>
      <c r="L93" s="107"/>
      <c r="M93" s="107"/>
      <c r="N93" s="107"/>
      <c r="O93" s="107"/>
      <c r="P93" s="107"/>
      <c r="Q93" s="131"/>
      <c r="R93" s="138"/>
      <c r="S93" s="138"/>
      <c r="T93" s="138"/>
      <c r="U93" s="138"/>
      <c r="V93" s="138"/>
      <c r="W93" s="138"/>
      <c r="X93" s="138"/>
      <c r="Y93" s="138"/>
      <c r="Z93" s="138"/>
      <c r="AA93" s="138"/>
      <c r="AB93" s="138"/>
      <c r="AC93" s="138"/>
      <c r="AD93" s="138"/>
      <c r="AE93" s="138"/>
      <c r="AF93" s="138"/>
      <c r="AG93" s="138"/>
      <c r="AH93" s="138"/>
      <c r="AI93" s="138"/>
      <c r="AJ93" s="138"/>
    </row>
    <row r="94" spans="1:36" s="31" customFormat="1">
      <c r="A94" s="85">
        <f>IF(F94&lt;&gt;"",1+MAX($A$2:A93),"")</f>
        <v>57</v>
      </c>
      <c r="B94" s="214"/>
      <c r="C94" s="88"/>
      <c r="D94" s="78" t="s">
        <v>89</v>
      </c>
      <c r="E94" s="60">
        <v>87</v>
      </c>
      <c r="F94" s="90">
        <v>0</v>
      </c>
      <c r="G94" s="89">
        <f t="shared" ref="G94:G97" si="67">E94*(1+F94)</f>
        <v>87</v>
      </c>
      <c r="H94" s="60" t="s">
        <v>45</v>
      </c>
      <c r="I94" s="104">
        <v>1.2849999999999999</v>
      </c>
      <c r="J94" s="105">
        <f t="shared" ref="J94:J97" si="68">+I94*G94</f>
        <v>111.795</v>
      </c>
      <c r="K94" s="106">
        <f>'LABOR SHEET'!$C$5</f>
        <v>45</v>
      </c>
      <c r="L94" s="107">
        <f t="shared" ref="L94:L97" si="69">I94*K94</f>
        <v>57.825000000000003</v>
      </c>
      <c r="M94" s="107">
        <f t="shared" ref="M94:M97" si="70">K94*J94</f>
        <v>5030.7749999999996</v>
      </c>
      <c r="N94" s="107">
        <v>124</v>
      </c>
      <c r="O94" s="107">
        <f t="shared" ref="O94:O97" si="71">N94*G94</f>
        <v>10788</v>
      </c>
      <c r="P94" s="107">
        <f t="shared" ref="P94:P97" si="72">(I94*K94)+N94</f>
        <v>181.82499999999999</v>
      </c>
      <c r="Q94" s="131">
        <f t="shared" ref="Q94:Q97" si="73">P94*G94</f>
        <v>15818.775</v>
      </c>
      <c r="R94" s="138"/>
      <c r="S94" s="138"/>
      <c r="T94" s="138"/>
      <c r="U94" s="138"/>
      <c r="V94" s="138"/>
      <c r="W94" s="138"/>
      <c r="X94" s="138"/>
      <c r="Y94" s="138"/>
      <c r="Z94" s="138"/>
      <c r="AA94" s="138"/>
      <c r="AB94" s="138"/>
      <c r="AC94" s="138"/>
      <c r="AD94" s="138"/>
      <c r="AE94" s="138"/>
      <c r="AF94" s="138"/>
      <c r="AG94" s="138"/>
      <c r="AH94" s="138"/>
      <c r="AI94" s="138"/>
      <c r="AJ94" s="138"/>
    </row>
    <row r="95" spans="1:36" s="31" customFormat="1" ht="31.2">
      <c r="A95" s="85">
        <f>IF(F95&lt;&gt;"",1+MAX($A$2:A94),"")</f>
        <v>58</v>
      </c>
      <c r="B95" s="214"/>
      <c r="C95" s="88"/>
      <c r="D95" s="80" t="s">
        <v>90</v>
      </c>
      <c r="E95" s="60">
        <v>34116</v>
      </c>
      <c r="F95" s="55">
        <v>0.1</v>
      </c>
      <c r="G95" s="89">
        <f t="shared" si="67"/>
        <v>37527.599999999999</v>
      </c>
      <c r="H95" s="60" t="s">
        <v>36</v>
      </c>
      <c r="I95" s="104">
        <v>3.7999999999999999E-2</v>
      </c>
      <c r="J95" s="105">
        <f t="shared" si="68"/>
        <v>1426.0488</v>
      </c>
      <c r="K95" s="106">
        <f>'LABOR SHEET'!$C$5</f>
        <v>45</v>
      </c>
      <c r="L95" s="107">
        <f t="shared" si="69"/>
        <v>1.71</v>
      </c>
      <c r="M95" s="107">
        <f t="shared" si="70"/>
        <v>64172.196000000004</v>
      </c>
      <c r="N95" s="107">
        <v>1.24</v>
      </c>
      <c r="O95" s="107">
        <f t="shared" si="71"/>
        <v>46534.224000000002</v>
      </c>
      <c r="P95" s="107">
        <f t="shared" si="72"/>
        <v>2.95</v>
      </c>
      <c r="Q95" s="131">
        <f t="shared" si="73"/>
        <v>110706.42</v>
      </c>
      <c r="R95" s="138"/>
      <c r="S95" s="138"/>
      <c r="T95" s="138"/>
      <c r="U95" s="138"/>
      <c r="V95" s="138"/>
      <c r="W95" s="138"/>
      <c r="X95" s="138"/>
      <c r="Y95" s="138"/>
      <c r="Z95" s="138"/>
      <c r="AA95" s="138"/>
      <c r="AB95" s="138"/>
      <c r="AC95" s="138"/>
      <c r="AD95" s="138"/>
      <c r="AE95" s="138"/>
      <c r="AF95" s="138"/>
      <c r="AG95" s="138"/>
      <c r="AH95" s="138"/>
      <c r="AI95" s="138"/>
      <c r="AJ95" s="138"/>
    </row>
    <row r="96" spans="1:36" s="31" customFormat="1">
      <c r="A96" s="85">
        <f>IF(F96&lt;&gt;"",1+MAX($A$2:A95),"")</f>
        <v>59</v>
      </c>
      <c r="B96" s="214"/>
      <c r="C96" s="88"/>
      <c r="D96" s="98" t="s">
        <v>91</v>
      </c>
      <c r="E96" s="62">
        <f>34116*1/27</f>
        <v>1263.55555555556</v>
      </c>
      <c r="F96" s="55">
        <v>0.1</v>
      </c>
      <c r="G96" s="89">
        <f t="shared" si="67"/>
        <v>1389.9111111111099</v>
      </c>
      <c r="H96" s="60" t="s">
        <v>52</v>
      </c>
      <c r="I96" s="104">
        <v>1</v>
      </c>
      <c r="J96" s="105">
        <f t="shared" si="68"/>
        <v>1389.9111111111099</v>
      </c>
      <c r="K96" s="106">
        <f>'LABOR SHEET'!$C$5</f>
        <v>45</v>
      </c>
      <c r="L96" s="107">
        <f t="shared" si="69"/>
        <v>45</v>
      </c>
      <c r="M96" s="107">
        <f t="shared" si="70"/>
        <v>62545.999999999898</v>
      </c>
      <c r="N96" s="107">
        <v>62</v>
      </c>
      <c r="O96" s="107">
        <f t="shared" si="71"/>
        <v>86174.488888888794</v>
      </c>
      <c r="P96" s="107">
        <f t="shared" si="72"/>
        <v>107</v>
      </c>
      <c r="Q96" s="131">
        <f t="shared" si="73"/>
        <v>148720.488888889</v>
      </c>
      <c r="R96" s="138"/>
      <c r="S96" s="138"/>
      <c r="T96" s="138"/>
      <c r="U96" s="138"/>
      <c r="V96" s="138"/>
      <c r="W96" s="138"/>
      <c r="X96" s="138"/>
      <c r="Y96" s="138"/>
      <c r="Z96" s="138"/>
      <c r="AA96" s="138"/>
      <c r="AB96" s="138"/>
      <c r="AC96" s="138"/>
      <c r="AD96" s="138"/>
      <c r="AE96" s="138"/>
      <c r="AF96" s="138"/>
      <c r="AG96" s="138"/>
      <c r="AH96" s="138"/>
      <c r="AI96" s="138"/>
      <c r="AJ96" s="138"/>
    </row>
    <row r="97" spans="1:36" s="31" customFormat="1">
      <c r="A97" s="85">
        <f>IF(F97&lt;&gt;"",1+MAX($A$2:A96),"")</f>
        <v>60</v>
      </c>
      <c r="B97" s="214"/>
      <c r="C97" s="88"/>
      <c r="D97" s="98" t="s">
        <v>63</v>
      </c>
      <c r="E97" s="60">
        <v>34116</v>
      </c>
      <c r="F97" s="55">
        <v>0.1</v>
      </c>
      <c r="G97" s="89">
        <f t="shared" si="67"/>
        <v>37527.599999999999</v>
      </c>
      <c r="H97" s="60" t="s">
        <v>36</v>
      </c>
      <c r="I97" s="104">
        <v>7.0000000000000001E-3</v>
      </c>
      <c r="J97" s="105">
        <f t="shared" si="68"/>
        <v>262.69319999999999</v>
      </c>
      <c r="K97" s="106">
        <f>'LABOR SHEET'!$C$5</f>
        <v>45</v>
      </c>
      <c r="L97" s="107">
        <f t="shared" si="69"/>
        <v>0.315</v>
      </c>
      <c r="M97" s="107">
        <f t="shared" si="70"/>
        <v>11821.194</v>
      </c>
      <c r="N97" s="107">
        <v>0.4</v>
      </c>
      <c r="O97" s="107">
        <f t="shared" si="71"/>
        <v>15011.04</v>
      </c>
      <c r="P97" s="107">
        <f t="shared" si="72"/>
        <v>0.71499999999999997</v>
      </c>
      <c r="Q97" s="131">
        <f t="shared" si="73"/>
        <v>26832.234</v>
      </c>
      <c r="R97" s="138"/>
      <c r="S97" s="138"/>
      <c r="T97" s="138"/>
      <c r="U97" s="138"/>
      <c r="V97" s="138"/>
      <c r="W97" s="138"/>
      <c r="X97" s="138"/>
      <c r="Y97" s="138"/>
      <c r="Z97" s="138"/>
      <c r="AA97" s="138"/>
      <c r="AB97" s="138"/>
      <c r="AC97" s="138"/>
      <c r="AD97" s="138"/>
      <c r="AE97" s="138"/>
      <c r="AF97" s="138"/>
      <c r="AG97" s="138"/>
      <c r="AH97" s="138"/>
      <c r="AI97" s="138"/>
      <c r="AJ97" s="138"/>
    </row>
    <row r="98" spans="1:36" s="31" customFormat="1">
      <c r="A98" s="85"/>
      <c r="B98" s="214"/>
      <c r="C98" s="88"/>
      <c r="D98" s="98"/>
      <c r="E98" s="60"/>
      <c r="F98" s="55"/>
      <c r="G98" s="89"/>
      <c r="H98" s="60"/>
      <c r="I98" s="104"/>
      <c r="J98" s="105"/>
      <c r="K98" s="106"/>
      <c r="L98" s="107"/>
      <c r="M98" s="107"/>
      <c r="N98" s="107"/>
      <c r="O98" s="107"/>
      <c r="P98" s="107"/>
      <c r="Q98" s="131"/>
      <c r="R98" s="138"/>
      <c r="S98" s="138"/>
      <c r="T98" s="138"/>
      <c r="U98" s="138"/>
      <c r="V98" s="138"/>
      <c r="W98" s="138"/>
      <c r="X98" s="138"/>
      <c r="Y98" s="138"/>
      <c r="Z98" s="138"/>
      <c r="AA98" s="138"/>
      <c r="AB98" s="138"/>
      <c r="AC98" s="138"/>
      <c r="AD98" s="138"/>
      <c r="AE98" s="138"/>
      <c r="AF98" s="138"/>
      <c r="AG98" s="138"/>
      <c r="AH98" s="138"/>
      <c r="AI98" s="138"/>
      <c r="AJ98" s="138"/>
    </row>
    <row r="99" spans="1:36" s="31" customFormat="1">
      <c r="A99" s="85" t="str">
        <f>IF(F99&lt;&gt;"",1+MAX($A$2:A97),"")</f>
        <v/>
      </c>
      <c r="B99" s="214"/>
      <c r="C99" s="88"/>
      <c r="D99" s="97" t="s">
        <v>92</v>
      </c>
      <c r="E99" s="60"/>
      <c r="F99" s="90"/>
      <c r="G99" s="89"/>
      <c r="H99" s="60"/>
      <c r="I99" s="104"/>
      <c r="J99" s="105"/>
      <c r="K99" s="106"/>
      <c r="L99" s="107"/>
      <c r="M99" s="107"/>
      <c r="N99" s="107"/>
      <c r="O99" s="107"/>
      <c r="P99" s="107"/>
      <c r="Q99" s="131"/>
      <c r="R99" s="138"/>
      <c r="S99" s="138"/>
      <c r="T99" s="138"/>
      <c r="U99" s="138"/>
      <c r="V99" s="138"/>
      <c r="W99" s="138"/>
      <c r="X99" s="138"/>
      <c r="Y99" s="138"/>
      <c r="Z99" s="138"/>
      <c r="AA99" s="138"/>
      <c r="AB99" s="138"/>
      <c r="AC99" s="138"/>
      <c r="AD99" s="138"/>
      <c r="AE99" s="138"/>
      <c r="AF99" s="138"/>
      <c r="AG99" s="138"/>
      <c r="AH99" s="138"/>
      <c r="AI99" s="138"/>
      <c r="AJ99" s="138"/>
    </row>
    <row r="100" spans="1:36" s="31" customFormat="1">
      <c r="A100" s="85">
        <f>IF(F100&lt;&gt;"",1+MAX($A$2:A99),"")</f>
        <v>61</v>
      </c>
      <c r="B100" s="214"/>
      <c r="C100" s="62"/>
      <c r="D100" s="78" t="s">
        <v>93</v>
      </c>
      <c r="E100" s="60">
        <v>6</v>
      </c>
      <c r="F100" s="90">
        <v>0</v>
      </c>
      <c r="G100" s="89">
        <f t="shared" ref="G100" si="74">E100*(1+F100)</f>
        <v>6</v>
      </c>
      <c r="H100" s="60" t="s">
        <v>45</v>
      </c>
      <c r="I100" s="104">
        <v>0.5</v>
      </c>
      <c r="J100" s="105">
        <f t="shared" ref="J100:J102" si="75">+I100*G100</f>
        <v>3</v>
      </c>
      <c r="K100" s="106">
        <f>'LABOR SHEET'!$C$5</f>
        <v>45</v>
      </c>
      <c r="L100" s="107">
        <f t="shared" ref="L100:L102" si="76">I100*K100</f>
        <v>22.5</v>
      </c>
      <c r="M100" s="107">
        <f t="shared" ref="M100:M102" si="77">K100*J100</f>
        <v>135</v>
      </c>
      <c r="N100" s="107">
        <v>72</v>
      </c>
      <c r="O100" s="107">
        <f>N100*G100</f>
        <v>432</v>
      </c>
      <c r="P100" s="107">
        <f>(I100*K100)+N100</f>
        <v>94.5</v>
      </c>
      <c r="Q100" s="131">
        <f>P100*G100</f>
        <v>567</v>
      </c>
      <c r="R100" s="138"/>
      <c r="S100" s="138"/>
      <c r="T100" s="138"/>
      <c r="U100" s="138"/>
      <c r="V100" s="138"/>
      <c r="W100" s="138"/>
      <c r="X100" s="138"/>
      <c r="Y100" s="138"/>
      <c r="Z100" s="138"/>
      <c r="AA100" s="138"/>
      <c r="AB100" s="138"/>
      <c r="AC100" s="138"/>
      <c r="AD100" s="138"/>
      <c r="AE100" s="138"/>
      <c r="AF100" s="138"/>
      <c r="AG100" s="138"/>
      <c r="AH100" s="138"/>
      <c r="AI100" s="138"/>
      <c r="AJ100" s="138"/>
    </row>
    <row r="101" spans="1:36" s="31" customFormat="1" ht="31.2">
      <c r="A101" s="85">
        <f>IF(F101&lt;&gt;"",1+MAX($A$2:A100),"")</f>
        <v>62</v>
      </c>
      <c r="B101" s="214"/>
      <c r="C101" s="88"/>
      <c r="D101" s="80" t="s">
        <v>94</v>
      </c>
      <c r="E101" s="60">
        <v>3</v>
      </c>
      <c r="F101" s="90">
        <v>0</v>
      </c>
      <c r="G101" s="89">
        <f t="shared" ref="G101:G105" si="78">E101*(1+F101)</f>
        <v>3</v>
      </c>
      <c r="H101" s="60" t="s">
        <v>45</v>
      </c>
      <c r="I101" s="104">
        <v>0.72</v>
      </c>
      <c r="J101" s="105">
        <f t="shared" si="75"/>
        <v>2.16</v>
      </c>
      <c r="K101" s="106">
        <f>'LABOR SHEET'!$C$5</f>
        <v>45</v>
      </c>
      <c r="L101" s="107">
        <f t="shared" si="76"/>
        <v>32.4</v>
      </c>
      <c r="M101" s="107">
        <f t="shared" si="77"/>
        <v>97.2</v>
      </c>
      <c r="N101" s="107">
        <v>88</v>
      </c>
      <c r="O101" s="107">
        <f t="shared" ref="O101:O105" si="79">N101*G101</f>
        <v>264</v>
      </c>
      <c r="P101" s="107">
        <f t="shared" ref="P101:P105" si="80">(I101*K101)+N101</f>
        <v>120.4</v>
      </c>
      <c r="Q101" s="131">
        <f t="shared" ref="Q101:Q105" si="81">P101*G101</f>
        <v>361.2</v>
      </c>
      <c r="R101" s="138"/>
      <c r="S101" s="138"/>
      <c r="T101" s="138"/>
      <c r="U101" s="138"/>
      <c r="V101" s="138"/>
      <c r="W101" s="138"/>
      <c r="X101" s="138"/>
      <c r="Y101" s="138"/>
      <c r="Z101" s="138"/>
      <c r="AA101" s="138"/>
      <c r="AB101" s="138"/>
      <c r="AC101" s="138"/>
      <c r="AD101" s="138"/>
      <c r="AE101" s="138"/>
      <c r="AF101" s="138"/>
      <c r="AG101" s="138"/>
      <c r="AH101" s="138"/>
      <c r="AI101" s="138"/>
      <c r="AJ101" s="138"/>
    </row>
    <row r="102" spans="1:36" s="31" customFormat="1">
      <c r="A102" s="85">
        <f>IF(F102&lt;&gt;"",1+MAX($A$2:A101),"")</f>
        <v>63</v>
      </c>
      <c r="B102" s="214"/>
      <c r="C102" s="88"/>
      <c r="D102" s="78" t="s">
        <v>95</v>
      </c>
      <c r="E102" s="60">
        <v>2</v>
      </c>
      <c r="F102" s="90">
        <v>0</v>
      </c>
      <c r="G102" s="89">
        <f t="shared" si="78"/>
        <v>2</v>
      </c>
      <c r="H102" s="60" t="s">
        <v>45</v>
      </c>
      <c r="I102" s="104">
        <v>0.5</v>
      </c>
      <c r="J102" s="105">
        <f t="shared" si="75"/>
        <v>1</v>
      </c>
      <c r="K102" s="106">
        <f>'LABOR SHEET'!$C$5</f>
        <v>45</v>
      </c>
      <c r="L102" s="107">
        <f t="shared" si="76"/>
        <v>22.5</v>
      </c>
      <c r="M102" s="107">
        <f t="shared" si="77"/>
        <v>45</v>
      </c>
      <c r="N102" s="107">
        <v>72</v>
      </c>
      <c r="O102" s="107">
        <f t="shared" si="79"/>
        <v>144</v>
      </c>
      <c r="P102" s="107">
        <f t="shared" si="80"/>
        <v>94.5</v>
      </c>
      <c r="Q102" s="131">
        <f t="shared" si="81"/>
        <v>189</v>
      </c>
      <c r="R102" s="138"/>
      <c r="S102" s="138"/>
      <c r="T102" s="138"/>
      <c r="U102" s="138"/>
      <c r="V102" s="138"/>
      <c r="W102" s="138"/>
      <c r="X102" s="138"/>
      <c r="Y102" s="138"/>
      <c r="Z102" s="138"/>
      <c r="AA102" s="138"/>
      <c r="AB102" s="138"/>
      <c r="AC102" s="138"/>
      <c r="AD102" s="138"/>
      <c r="AE102" s="138"/>
      <c r="AF102" s="138"/>
      <c r="AG102" s="138"/>
      <c r="AH102" s="138"/>
      <c r="AI102" s="138"/>
      <c r="AJ102" s="138"/>
    </row>
    <row r="103" spans="1:36" s="31" customFormat="1">
      <c r="A103" s="85">
        <f>IF(F103&lt;&gt;"",1+MAX($A$2:A102),"")</f>
        <v>64</v>
      </c>
      <c r="B103" s="214"/>
      <c r="C103" s="88"/>
      <c r="D103" s="78" t="s">
        <v>96</v>
      </c>
      <c r="E103" s="60">
        <v>2408</v>
      </c>
      <c r="F103" s="61">
        <v>0.05</v>
      </c>
      <c r="G103" s="89">
        <f t="shared" si="78"/>
        <v>2528.4</v>
      </c>
      <c r="H103" s="60" t="s">
        <v>38</v>
      </c>
      <c r="I103" s="104">
        <v>3.2000000000000001E-2</v>
      </c>
      <c r="J103" s="105">
        <f t="shared" ref="J103:J105" si="82">+I103*G103</f>
        <v>80.908799999999999</v>
      </c>
      <c r="K103" s="106">
        <f>'LABOR SHEET'!$C$5</f>
        <v>45</v>
      </c>
      <c r="L103" s="107">
        <f t="shared" ref="L103:L105" si="83">I103*K103</f>
        <v>1.44</v>
      </c>
      <c r="M103" s="107">
        <f t="shared" ref="M103:M105" si="84">K103*J103</f>
        <v>3640.8960000000002</v>
      </c>
      <c r="N103" s="107">
        <v>2.1</v>
      </c>
      <c r="O103" s="107">
        <f t="shared" si="79"/>
        <v>5309.64</v>
      </c>
      <c r="P103" s="107">
        <f t="shared" si="80"/>
        <v>3.54</v>
      </c>
      <c r="Q103" s="131">
        <f t="shared" si="81"/>
        <v>8950.5360000000001</v>
      </c>
      <c r="R103" s="138"/>
      <c r="S103" s="138"/>
      <c r="T103" s="138"/>
      <c r="U103" s="138"/>
      <c r="V103" s="138"/>
      <c r="W103" s="138"/>
      <c r="X103" s="138"/>
      <c r="Y103" s="138"/>
      <c r="Z103" s="138"/>
      <c r="AA103" s="138"/>
      <c r="AB103" s="138"/>
      <c r="AC103" s="138"/>
      <c r="AD103" s="138"/>
      <c r="AE103" s="138"/>
      <c r="AF103" s="138"/>
      <c r="AG103" s="138"/>
      <c r="AH103" s="138"/>
      <c r="AI103" s="138"/>
      <c r="AJ103" s="138"/>
    </row>
    <row r="104" spans="1:36" s="31" customFormat="1" ht="31.2">
      <c r="A104" s="85">
        <f>IF(F104&lt;&gt;"",1+MAX($A$2:A103),"")</f>
        <v>65</v>
      </c>
      <c r="B104" s="214"/>
      <c r="C104" s="88"/>
      <c r="D104" s="80" t="s">
        <v>97</v>
      </c>
      <c r="E104" s="60">
        <v>1638</v>
      </c>
      <c r="F104" s="61">
        <v>0.05</v>
      </c>
      <c r="G104" s="89">
        <f t="shared" si="78"/>
        <v>1719.9</v>
      </c>
      <c r="H104" s="60" t="s">
        <v>38</v>
      </c>
      <c r="I104" s="104">
        <v>4.8000000000000001E-2</v>
      </c>
      <c r="J104" s="105">
        <f t="shared" si="82"/>
        <v>82.555199999999999</v>
      </c>
      <c r="K104" s="106">
        <f>'LABOR SHEET'!$C$5</f>
        <v>45</v>
      </c>
      <c r="L104" s="107">
        <f t="shared" si="83"/>
        <v>2.16</v>
      </c>
      <c r="M104" s="107">
        <f t="shared" si="84"/>
        <v>3714.9839999999999</v>
      </c>
      <c r="N104" s="107">
        <v>2.4</v>
      </c>
      <c r="O104" s="107">
        <f t="shared" si="79"/>
        <v>4127.76</v>
      </c>
      <c r="P104" s="107">
        <f t="shared" si="80"/>
        <v>4.5599999999999996</v>
      </c>
      <c r="Q104" s="131">
        <f t="shared" si="81"/>
        <v>7842.7439999999997</v>
      </c>
      <c r="R104" s="138"/>
      <c r="S104" s="138"/>
      <c r="T104" s="138"/>
      <c r="U104" s="138"/>
      <c r="V104" s="138"/>
      <c r="W104" s="138"/>
      <c r="X104" s="138"/>
      <c r="Y104" s="138"/>
      <c r="Z104" s="138"/>
      <c r="AA104" s="138"/>
      <c r="AB104" s="138"/>
      <c r="AC104" s="138"/>
      <c r="AD104" s="138"/>
      <c r="AE104" s="138"/>
      <c r="AF104" s="138"/>
      <c r="AG104" s="138"/>
      <c r="AH104" s="138"/>
      <c r="AI104" s="138"/>
      <c r="AJ104" s="138"/>
    </row>
    <row r="105" spans="1:36" s="31" customFormat="1">
      <c r="A105" s="85">
        <f>IF(F105&lt;&gt;"",1+MAX($A$2:A104),"")</f>
        <v>66</v>
      </c>
      <c r="B105" s="214"/>
      <c r="C105" s="88"/>
      <c r="D105" s="78" t="s">
        <v>98</v>
      </c>
      <c r="E105" s="60">
        <v>1</v>
      </c>
      <c r="F105" s="90">
        <v>0</v>
      </c>
      <c r="G105" s="89">
        <f t="shared" si="78"/>
        <v>1</v>
      </c>
      <c r="H105" s="60" t="s">
        <v>45</v>
      </c>
      <c r="I105" s="104">
        <v>0.5</v>
      </c>
      <c r="J105" s="105">
        <f t="shared" si="82"/>
        <v>0.5</v>
      </c>
      <c r="K105" s="106">
        <f>'LABOR SHEET'!$C$5</f>
        <v>45</v>
      </c>
      <c r="L105" s="107">
        <f t="shared" si="83"/>
        <v>22.5</v>
      </c>
      <c r="M105" s="107">
        <f t="shared" si="84"/>
        <v>22.5</v>
      </c>
      <c r="N105" s="107">
        <v>72</v>
      </c>
      <c r="O105" s="107">
        <f t="shared" si="79"/>
        <v>72</v>
      </c>
      <c r="P105" s="107">
        <f t="shared" si="80"/>
        <v>94.5</v>
      </c>
      <c r="Q105" s="131">
        <f t="shared" si="81"/>
        <v>94.5</v>
      </c>
      <c r="R105" s="138"/>
      <c r="S105" s="138"/>
      <c r="T105" s="138"/>
      <c r="U105" s="138"/>
      <c r="V105" s="138"/>
      <c r="W105" s="138"/>
      <c r="X105" s="138"/>
      <c r="Y105" s="138"/>
      <c r="Z105" s="138"/>
      <c r="AA105" s="138"/>
      <c r="AB105" s="138"/>
      <c r="AC105" s="138"/>
      <c r="AD105" s="138"/>
      <c r="AE105" s="138"/>
      <c r="AF105" s="138"/>
      <c r="AG105" s="138"/>
      <c r="AH105" s="138"/>
      <c r="AI105" s="138"/>
      <c r="AJ105" s="138"/>
    </row>
    <row r="106" spans="1:36" s="31" customFormat="1">
      <c r="A106" s="85"/>
      <c r="B106" s="214"/>
      <c r="C106" s="88"/>
      <c r="D106" s="78"/>
      <c r="E106" s="60"/>
      <c r="F106" s="90"/>
      <c r="G106" s="89"/>
      <c r="H106" s="60"/>
      <c r="I106" s="104"/>
      <c r="J106" s="105"/>
      <c r="K106" s="106"/>
      <c r="L106" s="107"/>
      <c r="M106" s="107"/>
      <c r="N106" s="107"/>
      <c r="O106" s="107"/>
      <c r="P106" s="107"/>
      <c r="Q106" s="131"/>
      <c r="R106" s="138"/>
      <c r="S106" s="138"/>
      <c r="T106" s="138"/>
      <c r="U106" s="138"/>
      <c r="V106" s="138"/>
      <c r="W106" s="138"/>
      <c r="X106" s="138"/>
      <c r="Y106" s="138"/>
      <c r="Z106" s="138"/>
      <c r="AA106" s="138"/>
      <c r="AB106" s="138"/>
      <c r="AC106" s="138"/>
      <c r="AD106" s="138"/>
      <c r="AE106" s="138"/>
      <c r="AF106" s="138"/>
      <c r="AG106" s="138"/>
      <c r="AH106" s="138"/>
      <c r="AI106" s="138"/>
      <c r="AJ106" s="138"/>
    </row>
    <row r="107" spans="1:36" s="31" customFormat="1">
      <c r="A107" s="85" t="str">
        <f>IF(F107&lt;&gt;"",1+MAX($A$2:A105),"")</f>
        <v/>
      </c>
      <c r="B107" s="214"/>
      <c r="C107" s="88"/>
      <c r="D107" s="97" t="s">
        <v>99</v>
      </c>
      <c r="E107" s="60"/>
      <c r="F107" s="90"/>
      <c r="G107" s="89"/>
      <c r="H107" s="60"/>
      <c r="I107" s="104"/>
      <c r="J107" s="105"/>
      <c r="K107" s="106"/>
      <c r="L107" s="107"/>
      <c r="M107" s="107"/>
      <c r="N107" s="107"/>
      <c r="O107" s="107"/>
      <c r="P107" s="107"/>
      <c r="Q107" s="131"/>
      <c r="R107" s="138"/>
      <c r="S107" s="138"/>
      <c r="T107" s="138"/>
      <c r="U107" s="138"/>
      <c r="V107" s="138"/>
      <c r="W107" s="138"/>
      <c r="X107" s="138"/>
      <c r="Y107" s="138"/>
      <c r="Z107" s="138"/>
      <c r="AA107" s="138"/>
      <c r="AB107" s="138"/>
      <c r="AC107" s="138"/>
      <c r="AD107" s="138"/>
      <c r="AE107" s="138"/>
      <c r="AF107" s="138"/>
      <c r="AG107" s="138"/>
      <c r="AH107" s="138"/>
      <c r="AI107" s="138"/>
      <c r="AJ107" s="138"/>
    </row>
    <row r="108" spans="1:36" s="31" customFormat="1">
      <c r="A108" s="85">
        <f>IF(F108&lt;&gt;"",1+MAX($A$2:A107),"")</f>
        <v>67</v>
      </c>
      <c r="B108" s="214"/>
      <c r="C108" s="88"/>
      <c r="D108" s="80" t="s">
        <v>100</v>
      </c>
      <c r="E108" s="62">
        <f>0.5*863/27</f>
        <v>15.9814814814815</v>
      </c>
      <c r="F108" s="55">
        <v>0.1</v>
      </c>
      <c r="G108" s="89">
        <f t="shared" ref="G108:G111" si="85">E108*(1+F108)</f>
        <v>17.579629629629601</v>
      </c>
      <c r="H108" s="60" t="s">
        <v>52</v>
      </c>
      <c r="I108" s="104">
        <v>2.4</v>
      </c>
      <c r="J108" s="105">
        <f t="shared" ref="J108:J111" si="86">+I108*G108</f>
        <v>42.191111111110999</v>
      </c>
      <c r="K108" s="106">
        <f>'LABOR SHEET'!$C$5</f>
        <v>45</v>
      </c>
      <c r="L108" s="107">
        <f t="shared" ref="L108:L111" si="87">I108*K108</f>
        <v>108</v>
      </c>
      <c r="M108" s="107">
        <f t="shared" ref="M108:M111" si="88">K108*J108</f>
        <v>1898.5999999999899</v>
      </c>
      <c r="N108" s="107">
        <v>180</v>
      </c>
      <c r="O108" s="107">
        <f t="shared" ref="O108:O111" si="89">N108*G108</f>
        <v>3164.3333333333298</v>
      </c>
      <c r="P108" s="107">
        <f t="shared" ref="P108:P111" si="90">(I108*K108)+N108</f>
        <v>288</v>
      </c>
      <c r="Q108" s="131">
        <f t="shared" ref="Q108:Q111" si="91">P108*G108</f>
        <v>5062.9333333333298</v>
      </c>
      <c r="R108" s="138"/>
      <c r="S108" s="138"/>
      <c r="T108" s="138"/>
      <c r="U108" s="138"/>
      <c r="V108" s="138"/>
      <c r="W108" s="138"/>
      <c r="X108" s="138"/>
      <c r="Y108" s="138"/>
      <c r="Z108" s="138"/>
      <c r="AA108" s="138"/>
      <c r="AB108" s="138"/>
      <c r="AC108" s="138"/>
      <c r="AD108" s="138"/>
      <c r="AE108" s="138"/>
      <c r="AF108" s="138"/>
      <c r="AG108" s="138"/>
      <c r="AH108" s="138"/>
      <c r="AI108" s="138"/>
      <c r="AJ108" s="138"/>
    </row>
    <row r="109" spans="1:36" s="31" customFormat="1">
      <c r="A109" s="85">
        <f>IF(F109&lt;&gt;"",1+MAX($A$2:A108),"")</f>
        <v>68</v>
      </c>
      <c r="B109" s="214"/>
      <c r="C109" s="88"/>
      <c r="D109" s="80" t="s">
        <v>101</v>
      </c>
      <c r="E109" s="62">
        <f>343*1*0.5/27</f>
        <v>6.3518518518518503</v>
      </c>
      <c r="F109" s="55">
        <v>0.1</v>
      </c>
      <c r="G109" s="89">
        <f t="shared" si="85"/>
        <v>6.98703703703704</v>
      </c>
      <c r="H109" s="60" t="s">
        <v>52</v>
      </c>
      <c r="I109" s="104">
        <v>2.6</v>
      </c>
      <c r="J109" s="105">
        <f t="shared" si="86"/>
        <v>18.166296296296299</v>
      </c>
      <c r="K109" s="106">
        <f>'LABOR SHEET'!$C$5</f>
        <v>45</v>
      </c>
      <c r="L109" s="107">
        <f t="shared" si="87"/>
        <v>117</v>
      </c>
      <c r="M109" s="107">
        <f t="shared" si="88"/>
        <v>817.48333333333301</v>
      </c>
      <c r="N109" s="107">
        <v>180</v>
      </c>
      <c r="O109" s="107">
        <f t="shared" si="89"/>
        <v>1257.6666666666699</v>
      </c>
      <c r="P109" s="107">
        <f t="shared" si="90"/>
        <v>297</v>
      </c>
      <c r="Q109" s="131">
        <f t="shared" si="91"/>
        <v>2075.15</v>
      </c>
      <c r="R109" s="138"/>
      <c r="S109" s="138"/>
      <c r="T109" s="138"/>
      <c r="U109" s="138"/>
      <c r="V109" s="138"/>
      <c r="W109" s="138"/>
      <c r="X109" s="138"/>
      <c r="Y109" s="138"/>
      <c r="Z109" s="138"/>
      <c r="AA109" s="138"/>
      <c r="AB109" s="138"/>
      <c r="AC109" s="138"/>
      <c r="AD109" s="138"/>
      <c r="AE109" s="138"/>
      <c r="AF109" s="138"/>
      <c r="AG109" s="138"/>
      <c r="AH109" s="138"/>
      <c r="AI109" s="138"/>
      <c r="AJ109" s="138"/>
    </row>
    <row r="110" spans="1:36" s="31" customFormat="1">
      <c r="A110" s="85">
        <f>IF(F110&lt;&gt;"",1+MAX($A$2:A109),"")</f>
        <v>69</v>
      </c>
      <c r="B110" s="214"/>
      <c r="C110" s="88"/>
      <c r="D110" s="98" t="s">
        <v>102</v>
      </c>
      <c r="E110" s="60">
        <f>863/1*2*0.668</f>
        <v>1152.9680000000001</v>
      </c>
      <c r="F110" s="61">
        <v>0.05</v>
      </c>
      <c r="G110" s="89">
        <f t="shared" si="85"/>
        <v>1210.6164000000001</v>
      </c>
      <c r="H110" s="60" t="s">
        <v>78</v>
      </c>
      <c r="I110" s="104">
        <v>1.0999999999999999E-2</v>
      </c>
      <c r="J110" s="105">
        <f t="shared" si="86"/>
        <v>13.316780400000001</v>
      </c>
      <c r="K110" s="106">
        <f>'LABOR SHEET'!$C$5</f>
        <v>45</v>
      </c>
      <c r="L110" s="107">
        <f t="shared" si="87"/>
        <v>0.495</v>
      </c>
      <c r="M110" s="107">
        <f t="shared" si="88"/>
        <v>599.25511800000004</v>
      </c>
      <c r="N110" s="107">
        <v>0.9</v>
      </c>
      <c r="O110" s="107">
        <f t="shared" si="89"/>
        <v>1089.55476</v>
      </c>
      <c r="P110" s="107">
        <f t="shared" si="90"/>
        <v>1.395</v>
      </c>
      <c r="Q110" s="131">
        <f t="shared" si="91"/>
        <v>1688.809878</v>
      </c>
      <c r="R110" s="138"/>
      <c r="S110" s="138"/>
      <c r="T110" s="138"/>
      <c r="U110" s="138"/>
      <c r="V110" s="138"/>
      <c r="W110" s="138"/>
      <c r="X110" s="138"/>
      <c r="Y110" s="138"/>
      <c r="Z110" s="138"/>
      <c r="AA110" s="138"/>
      <c r="AB110" s="138"/>
      <c r="AC110" s="138"/>
      <c r="AD110" s="138"/>
      <c r="AE110" s="138"/>
      <c r="AF110" s="138"/>
      <c r="AG110" s="138"/>
      <c r="AH110" s="138"/>
      <c r="AI110" s="138"/>
      <c r="AJ110" s="138"/>
    </row>
    <row r="111" spans="1:36" s="31" customFormat="1">
      <c r="A111" s="85">
        <f>IF(F111&lt;&gt;"",1+MAX($A$2:A110),"")</f>
        <v>70</v>
      </c>
      <c r="B111" s="214"/>
      <c r="C111" s="88"/>
      <c r="D111" s="98" t="s">
        <v>103</v>
      </c>
      <c r="E111" s="60">
        <f>0.668*343</f>
        <v>229.124</v>
      </c>
      <c r="F111" s="61">
        <v>0.05</v>
      </c>
      <c r="G111" s="89">
        <f t="shared" si="85"/>
        <v>240.58019999999999</v>
      </c>
      <c r="H111" s="60" t="s">
        <v>78</v>
      </c>
      <c r="I111" s="104">
        <v>1.0999999999999999E-2</v>
      </c>
      <c r="J111" s="105">
        <f t="shared" si="86"/>
        <v>2.6463822000000001</v>
      </c>
      <c r="K111" s="106">
        <f>'LABOR SHEET'!$C$5</f>
        <v>45</v>
      </c>
      <c r="L111" s="107">
        <f t="shared" si="87"/>
        <v>0.495</v>
      </c>
      <c r="M111" s="107">
        <f t="shared" si="88"/>
        <v>119.087199</v>
      </c>
      <c r="N111" s="107">
        <v>0.9</v>
      </c>
      <c r="O111" s="107">
        <f t="shared" si="89"/>
        <v>216.52217999999999</v>
      </c>
      <c r="P111" s="107">
        <f t="shared" si="90"/>
        <v>1.395</v>
      </c>
      <c r="Q111" s="131">
        <f t="shared" si="91"/>
        <v>335.60937899999999</v>
      </c>
      <c r="R111" s="138"/>
      <c r="S111" s="138"/>
      <c r="T111" s="138"/>
      <c r="U111" s="138"/>
      <c r="V111" s="138"/>
      <c r="W111" s="138"/>
      <c r="X111" s="138"/>
      <c r="Y111" s="138"/>
      <c r="Z111" s="138"/>
      <c r="AA111" s="138"/>
      <c r="AB111" s="138"/>
      <c r="AC111" s="138"/>
      <c r="AD111" s="138"/>
      <c r="AE111" s="138"/>
      <c r="AF111" s="138"/>
      <c r="AG111" s="138"/>
      <c r="AH111" s="138"/>
      <c r="AI111" s="138"/>
      <c r="AJ111" s="138"/>
    </row>
    <row r="112" spans="1:36" s="31" customFormat="1">
      <c r="A112" s="85"/>
      <c r="B112" s="214"/>
      <c r="C112" s="88"/>
      <c r="D112" s="98"/>
      <c r="E112" s="60"/>
      <c r="F112" s="61"/>
      <c r="G112" s="89"/>
      <c r="H112" s="60"/>
      <c r="I112" s="104"/>
      <c r="J112" s="105"/>
      <c r="K112" s="106"/>
      <c r="L112" s="107"/>
      <c r="M112" s="107"/>
      <c r="N112" s="107"/>
      <c r="O112" s="107"/>
      <c r="P112" s="107"/>
      <c r="Q112" s="131"/>
      <c r="R112" s="138"/>
      <c r="S112" s="138"/>
      <c r="T112" s="138"/>
      <c r="U112" s="138"/>
      <c r="V112" s="138"/>
      <c r="W112" s="138"/>
      <c r="X112" s="138"/>
      <c r="Y112" s="138"/>
      <c r="Z112" s="138"/>
      <c r="AA112" s="138"/>
      <c r="AB112" s="138"/>
      <c r="AC112" s="138"/>
      <c r="AD112" s="138"/>
      <c r="AE112" s="138"/>
      <c r="AF112" s="138"/>
      <c r="AG112" s="138"/>
      <c r="AH112" s="138"/>
      <c r="AI112" s="138"/>
      <c r="AJ112" s="138"/>
    </row>
    <row r="113" spans="1:36" s="31" customFormat="1">
      <c r="A113" s="85" t="str">
        <f>IF(F113&lt;&gt;"",1+MAX($A$2:A111),"")</f>
        <v/>
      </c>
      <c r="B113" s="214"/>
      <c r="C113" s="88"/>
      <c r="D113" s="97" t="s">
        <v>104</v>
      </c>
      <c r="E113" s="60"/>
      <c r="F113" s="90"/>
      <c r="G113" s="89"/>
      <c r="H113" s="60"/>
      <c r="I113" s="104"/>
      <c r="J113" s="105"/>
      <c r="K113" s="106"/>
      <c r="L113" s="107"/>
      <c r="M113" s="107"/>
      <c r="N113" s="107"/>
      <c r="O113" s="107"/>
      <c r="P113" s="107"/>
      <c r="Q113" s="131"/>
      <c r="R113" s="138"/>
      <c r="S113" s="138"/>
      <c r="T113" s="138"/>
      <c r="U113" s="138"/>
      <c r="V113" s="138"/>
      <c r="W113" s="138"/>
      <c r="X113" s="138"/>
      <c r="Y113" s="138"/>
      <c r="Z113" s="138"/>
      <c r="AA113" s="138"/>
      <c r="AB113" s="138"/>
      <c r="AC113" s="138"/>
      <c r="AD113" s="138"/>
      <c r="AE113" s="138"/>
      <c r="AF113" s="138"/>
      <c r="AG113" s="138"/>
      <c r="AH113" s="138"/>
      <c r="AI113" s="138"/>
      <c r="AJ113" s="138"/>
    </row>
    <row r="114" spans="1:36" s="31" customFormat="1">
      <c r="A114" s="85">
        <f>IF(F114&lt;&gt;"",1+MAX($A$2:A113),"")</f>
        <v>71</v>
      </c>
      <c r="B114" s="214"/>
      <c r="C114" s="88"/>
      <c r="D114" s="78" t="s">
        <v>105</v>
      </c>
      <c r="E114" s="60">
        <v>38</v>
      </c>
      <c r="F114" s="61">
        <v>0.05</v>
      </c>
      <c r="G114" s="89">
        <f>E114*(1+F114)</f>
        <v>39.9</v>
      </c>
      <c r="H114" s="60" t="s">
        <v>38</v>
      </c>
      <c r="I114" s="104">
        <v>5.1999999999999998E-2</v>
      </c>
      <c r="J114" s="105">
        <f>+I114*G114</f>
        <v>2.0748000000000002</v>
      </c>
      <c r="K114" s="106">
        <f>'LABOR SHEET'!$C$5</f>
        <v>45</v>
      </c>
      <c r="L114" s="107">
        <f>I114*K114</f>
        <v>2.34</v>
      </c>
      <c r="M114" s="107">
        <f>K114*J114</f>
        <v>93.366</v>
      </c>
      <c r="N114" s="107">
        <v>12</v>
      </c>
      <c r="O114" s="107">
        <f>N114*G114</f>
        <v>478.8</v>
      </c>
      <c r="P114" s="107">
        <f>(I114*K114)+N114</f>
        <v>14.34</v>
      </c>
      <c r="Q114" s="131">
        <f>P114*G114</f>
        <v>572.16600000000005</v>
      </c>
      <c r="R114" s="138"/>
      <c r="S114" s="138"/>
      <c r="T114" s="138"/>
      <c r="U114" s="138"/>
      <c r="V114" s="138"/>
      <c r="W114" s="138"/>
      <c r="X114" s="138"/>
      <c r="Y114" s="138"/>
      <c r="Z114" s="138"/>
      <c r="AA114" s="138"/>
      <c r="AB114" s="138"/>
      <c r="AC114" s="138"/>
      <c r="AD114" s="138"/>
      <c r="AE114" s="138"/>
      <c r="AF114" s="138"/>
      <c r="AG114" s="138"/>
      <c r="AH114" s="138"/>
      <c r="AI114" s="138"/>
      <c r="AJ114" s="138"/>
    </row>
    <row r="115" spans="1:36" s="31" customFormat="1">
      <c r="A115" s="85"/>
      <c r="B115" s="214"/>
      <c r="C115" s="88"/>
      <c r="D115" s="78"/>
      <c r="E115" s="60"/>
      <c r="F115" s="61"/>
      <c r="G115" s="89"/>
      <c r="H115" s="60"/>
      <c r="I115" s="104"/>
      <c r="J115" s="105"/>
      <c r="K115" s="106"/>
      <c r="L115" s="107"/>
      <c r="M115" s="107"/>
      <c r="N115" s="107"/>
      <c r="O115" s="107"/>
      <c r="P115" s="107"/>
      <c r="Q115" s="131"/>
      <c r="R115" s="138"/>
      <c r="S115" s="138"/>
      <c r="T115" s="138"/>
      <c r="U115" s="138"/>
      <c r="V115" s="138"/>
      <c r="W115" s="138"/>
      <c r="X115" s="138"/>
      <c r="Y115" s="138"/>
      <c r="Z115" s="138"/>
      <c r="AA115" s="138"/>
      <c r="AB115" s="138"/>
      <c r="AC115" s="138"/>
      <c r="AD115" s="138"/>
      <c r="AE115" s="138"/>
      <c r="AF115" s="138"/>
      <c r="AG115" s="138"/>
      <c r="AH115" s="138"/>
      <c r="AI115" s="138"/>
      <c r="AJ115" s="138"/>
    </row>
    <row r="116" spans="1:36" s="31" customFormat="1">
      <c r="A116" s="85" t="str">
        <f>IF(F116&lt;&gt;"",1+MAX($A$2:A114),"")</f>
        <v/>
      </c>
      <c r="B116" s="214"/>
      <c r="C116" s="88"/>
      <c r="D116" s="97" t="s">
        <v>106</v>
      </c>
      <c r="E116" s="60"/>
      <c r="F116" s="90"/>
      <c r="G116" s="89"/>
      <c r="H116" s="60"/>
      <c r="I116" s="104"/>
      <c r="J116" s="105"/>
      <c r="K116" s="106"/>
      <c r="L116" s="107"/>
      <c r="M116" s="107"/>
      <c r="N116" s="107"/>
      <c r="O116" s="107"/>
      <c r="P116" s="107"/>
      <c r="Q116" s="131"/>
      <c r="R116" s="138"/>
      <c r="S116" s="138"/>
      <c r="T116" s="138"/>
      <c r="U116" s="138"/>
      <c r="V116" s="138"/>
      <c r="W116" s="138"/>
      <c r="X116" s="138"/>
      <c r="Y116" s="138"/>
      <c r="Z116" s="138"/>
      <c r="AA116" s="138"/>
      <c r="AB116" s="138"/>
      <c r="AC116" s="138"/>
      <c r="AD116" s="138"/>
      <c r="AE116" s="138"/>
      <c r="AF116" s="138"/>
      <c r="AG116" s="138"/>
      <c r="AH116" s="138"/>
      <c r="AI116" s="138"/>
      <c r="AJ116" s="138"/>
    </row>
    <row r="117" spans="1:36" s="31" customFormat="1">
      <c r="A117" s="85">
        <f>IF(F117&lt;&gt;"",1+MAX($A$2:A116),"")</f>
        <v>72</v>
      </c>
      <c r="B117" s="214"/>
      <c r="C117" s="88"/>
      <c r="D117" s="80" t="s">
        <v>107</v>
      </c>
      <c r="E117" s="62">
        <f>0.34*1066/27</f>
        <v>13.423703703703699</v>
      </c>
      <c r="F117" s="55">
        <v>0.1</v>
      </c>
      <c r="G117" s="89">
        <f>E117*(1+F117)</f>
        <v>14.766074074074099</v>
      </c>
      <c r="H117" s="60" t="s">
        <v>52</v>
      </c>
      <c r="I117" s="104">
        <v>2.6</v>
      </c>
      <c r="J117" s="105">
        <f t="shared" ref="J117:J121" si="92">+I117*G117</f>
        <v>38.391792592592601</v>
      </c>
      <c r="K117" s="106">
        <f>'LABOR SHEET'!$C$5</f>
        <v>45</v>
      </c>
      <c r="L117" s="107">
        <f t="shared" ref="L117:L121" si="93">I117*K117</f>
        <v>117</v>
      </c>
      <c r="M117" s="107">
        <f t="shared" ref="M117:M121" si="94">K117*J117</f>
        <v>1727.6306666666701</v>
      </c>
      <c r="N117" s="107">
        <v>198</v>
      </c>
      <c r="O117" s="107">
        <f>N117*G117</f>
        <v>2923.6826666666698</v>
      </c>
      <c r="P117" s="107">
        <f>(I117*K117)+N117</f>
        <v>315</v>
      </c>
      <c r="Q117" s="131">
        <f>P117*G117</f>
        <v>4651.3133333333299</v>
      </c>
      <c r="R117" s="138"/>
      <c r="S117" s="138"/>
      <c r="T117" s="138"/>
      <c r="U117" s="138"/>
      <c r="V117" s="138"/>
      <c r="W117" s="138"/>
      <c r="X117" s="138"/>
      <c r="Y117" s="138"/>
      <c r="Z117" s="138"/>
      <c r="AA117" s="138"/>
      <c r="AB117" s="138"/>
      <c r="AC117" s="138"/>
      <c r="AD117" s="138"/>
      <c r="AE117" s="138"/>
      <c r="AF117" s="138"/>
      <c r="AG117" s="138"/>
      <c r="AH117" s="138"/>
      <c r="AI117" s="138"/>
      <c r="AJ117" s="138"/>
    </row>
    <row r="118" spans="1:36" s="31" customFormat="1" ht="31.2">
      <c r="A118" s="85">
        <f>IF(F118&lt;&gt;"",1+MAX($A$2:A117),"")</f>
        <v>73</v>
      </c>
      <c r="B118" s="214"/>
      <c r="C118" s="88"/>
      <c r="D118" s="98" t="s">
        <v>108</v>
      </c>
      <c r="E118" s="60">
        <v>1066</v>
      </c>
      <c r="F118" s="55">
        <v>0.1</v>
      </c>
      <c r="G118" s="89">
        <f>E118*(1+F118)</f>
        <v>1172.5999999999999</v>
      </c>
      <c r="H118" s="60" t="s">
        <v>36</v>
      </c>
      <c r="I118" s="104">
        <v>8.0000000000000002E-3</v>
      </c>
      <c r="J118" s="105">
        <f t="shared" si="92"/>
        <v>9.3808000000000007</v>
      </c>
      <c r="K118" s="106">
        <f>'LABOR SHEET'!$C$5</f>
        <v>45</v>
      </c>
      <c r="L118" s="107">
        <f t="shared" si="93"/>
        <v>0.36</v>
      </c>
      <c r="M118" s="107">
        <f t="shared" si="94"/>
        <v>422.13600000000002</v>
      </c>
      <c r="N118" s="107">
        <v>0.55000000000000004</v>
      </c>
      <c r="O118" s="107">
        <f>N118*G118</f>
        <v>644.92999999999995</v>
      </c>
      <c r="P118" s="107">
        <f>(I118*K118)+N118</f>
        <v>0.91</v>
      </c>
      <c r="Q118" s="131">
        <f>P118*G118</f>
        <v>1067.066</v>
      </c>
      <c r="R118" s="138"/>
      <c r="S118" s="138"/>
      <c r="T118" s="138"/>
      <c r="U118" s="138"/>
      <c r="V118" s="138"/>
      <c r="W118" s="138"/>
      <c r="X118" s="138"/>
      <c r="Y118" s="138"/>
      <c r="Z118" s="138"/>
      <c r="AA118" s="138"/>
      <c r="AB118" s="138"/>
      <c r="AC118" s="138"/>
      <c r="AD118" s="138"/>
      <c r="AE118" s="138"/>
      <c r="AF118" s="138"/>
      <c r="AG118" s="138"/>
      <c r="AH118" s="138"/>
      <c r="AI118" s="138"/>
      <c r="AJ118" s="138"/>
    </row>
    <row r="119" spans="1:36" s="31" customFormat="1">
      <c r="A119" s="85">
        <f>IF(F119&lt;&gt;"",1+MAX($A$2:A118),"")</f>
        <v>74</v>
      </c>
      <c r="B119" s="214"/>
      <c r="C119" s="88"/>
      <c r="D119" s="98" t="s">
        <v>74</v>
      </c>
      <c r="E119" s="140">
        <f>0.083*1066/27</f>
        <v>3.2769629629629602</v>
      </c>
      <c r="F119" s="55">
        <v>0.1</v>
      </c>
      <c r="G119" s="89">
        <f>E119*(1+F119)</f>
        <v>3.6046592592592601</v>
      </c>
      <c r="H119" s="60" t="s">
        <v>36</v>
      </c>
      <c r="I119" s="104">
        <v>0.8</v>
      </c>
      <c r="J119" s="105">
        <f t="shared" si="92"/>
        <v>2.88372740740741</v>
      </c>
      <c r="K119" s="106">
        <f>'LABOR SHEET'!$C$5</f>
        <v>45</v>
      </c>
      <c r="L119" s="107">
        <f t="shared" si="93"/>
        <v>36</v>
      </c>
      <c r="M119" s="107">
        <f t="shared" si="94"/>
        <v>129.76773333333301</v>
      </c>
      <c r="N119" s="107">
        <v>63</v>
      </c>
      <c r="O119" s="107">
        <f>N119*G119</f>
        <v>227.093533333333</v>
      </c>
      <c r="P119" s="107">
        <f>(I119*K119)+N119</f>
        <v>99</v>
      </c>
      <c r="Q119" s="131">
        <f>P119*G119</f>
        <v>356.86126666666598</v>
      </c>
      <c r="R119" s="138"/>
      <c r="S119" s="138"/>
      <c r="T119" s="138"/>
      <c r="U119" s="138"/>
      <c r="V119" s="138"/>
      <c r="W119" s="138"/>
      <c r="X119" s="138"/>
      <c r="Y119" s="138"/>
      <c r="Z119" s="138"/>
      <c r="AA119" s="138"/>
      <c r="AB119" s="138"/>
      <c r="AC119" s="138"/>
      <c r="AD119" s="138"/>
      <c r="AE119" s="138"/>
      <c r="AF119" s="138"/>
      <c r="AG119" s="138"/>
      <c r="AH119" s="138"/>
      <c r="AI119" s="138"/>
      <c r="AJ119" s="138"/>
    </row>
    <row r="120" spans="1:36" s="31" customFormat="1">
      <c r="A120" s="85">
        <f>IF(F120&lt;&gt;"",1+MAX($A$2:A119),"")</f>
        <v>75</v>
      </c>
      <c r="B120" s="214"/>
      <c r="C120" s="88"/>
      <c r="D120" s="98" t="s">
        <v>75</v>
      </c>
      <c r="E120" s="60">
        <v>1066</v>
      </c>
      <c r="F120" s="55">
        <v>0.1</v>
      </c>
      <c r="G120" s="89">
        <f>E120*(1+F120)</f>
        <v>1172.5999999999999</v>
      </c>
      <c r="H120" s="60" t="s">
        <v>36</v>
      </c>
      <c r="I120" s="104">
        <v>7.0000000000000001E-3</v>
      </c>
      <c r="J120" s="105">
        <f t="shared" si="92"/>
        <v>8.2081999999999997</v>
      </c>
      <c r="K120" s="106">
        <f>'LABOR SHEET'!$C$5</f>
        <v>45</v>
      </c>
      <c r="L120" s="107">
        <f t="shared" si="93"/>
        <v>0.315</v>
      </c>
      <c r="M120" s="107">
        <f t="shared" si="94"/>
        <v>369.36900000000003</v>
      </c>
      <c r="N120" s="107">
        <v>0.4</v>
      </c>
      <c r="O120" s="107">
        <f>N120*G120</f>
        <v>469.04</v>
      </c>
      <c r="P120" s="107">
        <f>(I120*K120)+N120</f>
        <v>0.71499999999999997</v>
      </c>
      <c r="Q120" s="131">
        <f>P120*G120</f>
        <v>838.40899999999999</v>
      </c>
      <c r="R120" s="138"/>
      <c r="S120" s="138"/>
      <c r="T120" s="138"/>
      <c r="U120" s="138"/>
      <c r="V120" s="138"/>
      <c r="W120" s="138"/>
      <c r="X120" s="138"/>
      <c r="Y120" s="138"/>
      <c r="Z120" s="138"/>
      <c r="AA120" s="138"/>
      <c r="AB120" s="138"/>
      <c r="AC120" s="138"/>
      <c r="AD120" s="138"/>
      <c r="AE120" s="138"/>
      <c r="AF120" s="138"/>
      <c r="AG120" s="138"/>
      <c r="AH120" s="138"/>
      <c r="AI120" s="138"/>
      <c r="AJ120" s="138"/>
    </row>
    <row r="121" spans="1:36" s="31" customFormat="1">
      <c r="A121" s="85">
        <f>IF(F121&lt;&gt;"",1+MAX($A$2:A120),"")</f>
        <v>76</v>
      </c>
      <c r="B121" s="214"/>
      <c r="C121" s="88"/>
      <c r="D121" s="98" t="s">
        <v>70</v>
      </c>
      <c r="E121" s="62">
        <f>550*1.5*2</f>
        <v>1650</v>
      </c>
      <c r="F121" s="55">
        <v>0.1</v>
      </c>
      <c r="G121" s="89">
        <f>E121*(1+F121)</f>
        <v>1815</v>
      </c>
      <c r="H121" s="60" t="s">
        <v>36</v>
      </c>
      <c r="I121" s="104">
        <v>1.7999999999999999E-2</v>
      </c>
      <c r="J121" s="105">
        <f t="shared" si="92"/>
        <v>32.67</v>
      </c>
      <c r="K121" s="106">
        <f>'LABOR SHEET'!$C$5</f>
        <v>45</v>
      </c>
      <c r="L121" s="107">
        <f t="shared" si="93"/>
        <v>0.81</v>
      </c>
      <c r="M121" s="107">
        <f t="shared" si="94"/>
        <v>1470.15</v>
      </c>
      <c r="N121" s="107">
        <v>3</v>
      </c>
      <c r="O121" s="107">
        <f>N121*G121</f>
        <v>5445</v>
      </c>
      <c r="P121" s="107">
        <f>(I121*K121)+N121</f>
        <v>3.81</v>
      </c>
      <c r="Q121" s="131">
        <f>P121*G121</f>
        <v>6915.15</v>
      </c>
      <c r="R121" s="138"/>
      <c r="S121" s="138"/>
      <c r="T121" s="138"/>
      <c r="U121" s="138"/>
      <c r="V121" s="138"/>
      <c r="W121" s="138"/>
      <c r="X121" s="138"/>
      <c r="Y121" s="138"/>
      <c r="Z121" s="138"/>
      <c r="AA121" s="138"/>
      <c r="AB121" s="138"/>
      <c r="AC121" s="138"/>
      <c r="AD121" s="138"/>
      <c r="AE121" s="138"/>
      <c r="AF121" s="138"/>
      <c r="AG121" s="138"/>
      <c r="AH121" s="138"/>
      <c r="AI121" s="138"/>
      <c r="AJ121" s="138"/>
    </row>
    <row r="122" spans="1:36" s="31" customFormat="1">
      <c r="A122" s="85"/>
      <c r="B122" s="214"/>
      <c r="C122" s="88"/>
      <c r="D122" s="98"/>
      <c r="E122" s="62"/>
      <c r="F122" s="55"/>
      <c r="G122" s="89"/>
      <c r="H122" s="60"/>
      <c r="I122" s="104"/>
      <c r="J122" s="105"/>
      <c r="K122" s="106"/>
      <c r="L122" s="107"/>
      <c r="M122" s="107"/>
      <c r="N122" s="107"/>
      <c r="O122" s="107"/>
      <c r="P122" s="107"/>
      <c r="Q122" s="131"/>
      <c r="R122" s="138"/>
      <c r="S122" s="138"/>
      <c r="T122" s="138"/>
      <c r="U122" s="138"/>
      <c r="V122" s="138"/>
      <c r="W122" s="138"/>
      <c r="X122" s="138"/>
      <c r="Y122" s="138"/>
      <c r="Z122" s="138"/>
      <c r="AA122" s="138"/>
      <c r="AB122" s="138"/>
      <c r="AC122" s="138"/>
      <c r="AD122" s="138"/>
      <c r="AE122" s="138"/>
      <c r="AF122" s="138"/>
      <c r="AG122" s="138"/>
      <c r="AH122" s="138"/>
      <c r="AI122" s="138"/>
      <c r="AJ122" s="138"/>
    </row>
    <row r="123" spans="1:36" s="31" customFormat="1">
      <c r="A123" s="85" t="str">
        <f>IF(F123&lt;&gt;"",1+MAX($A$2:A121),"")</f>
        <v/>
      </c>
      <c r="B123" s="214"/>
      <c r="C123" s="88"/>
      <c r="D123" s="97" t="s">
        <v>109</v>
      </c>
      <c r="E123" s="60"/>
      <c r="F123" s="90"/>
      <c r="G123" s="89"/>
      <c r="H123" s="60"/>
      <c r="I123" s="104"/>
      <c r="J123" s="105"/>
      <c r="K123" s="106"/>
      <c r="L123" s="107"/>
      <c r="M123" s="107"/>
      <c r="N123" s="107"/>
      <c r="O123" s="107"/>
      <c r="P123" s="107"/>
      <c r="Q123" s="131"/>
      <c r="R123" s="138"/>
      <c r="S123" s="138"/>
      <c r="T123" s="138"/>
      <c r="U123" s="138"/>
      <c r="V123" s="138"/>
      <c r="W123" s="138"/>
      <c r="X123" s="138"/>
      <c r="Y123" s="138"/>
      <c r="Z123" s="138"/>
      <c r="AA123" s="138"/>
      <c r="AB123" s="138"/>
      <c r="AC123" s="138"/>
      <c r="AD123" s="138"/>
      <c r="AE123" s="138"/>
      <c r="AF123" s="138"/>
      <c r="AG123" s="138"/>
      <c r="AH123" s="138"/>
      <c r="AI123" s="138"/>
      <c r="AJ123" s="138"/>
    </row>
    <row r="124" spans="1:36" s="31" customFormat="1">
      <c r="A124" s="85">
        <f>IF(F124&lt;&gt;"",1+MAX($A$2:A123),"")</f>
        <v>77</v>
      </c>
      <c r="B124" s="214"/>
      <c r="C124" s="88"/>
      <c r="D124" s="78" t="s">
        <v>110</v>
      </c>
      <c r="E124" s="62">
        <f>7*208/27</f>
        <v>53.925925925925903</v>
      </c>
      <c r="F124" s="55">
        <v>0.1</v>
      </c>
      <c r="G124" s="89">
        <f>E124*(1+F124)</f>
        <v>59.318518518518502</v>
      </c>
      <c r="H124" s="60" t="s">
        <v>52</v>
      </c>
      <c r="I124" s="104">
        <v>0.6</v>
      </c>
      <c r="J124" s="105">
        <f>+I124*G124</f>
        <v>35.591111111111097</v>
      </c>
      <c r="K124" s="106">
        <f>'LABOR SHEET'!$C$5</f>
        <v>45</v>
      </c>
      <c r="L124" s="107">
        <f>I124*K124</f>
        <v>27</v>
      </c>
      <c r="M124" s="107">
        <f>K124*J124</f>
        <v>1601.6</v>
      </c>
      <c r="N124" s="107">
        <v>65</v>
      </c>
      <c r="O124" s="107">
        <f>N124*G124</f>
        <v>3855.7037037036998</v>
      </c>
      <c r="P124" s="107">
        <f>(I124*K124)+N124</f>
        <v>92</v>
      </c>
      <c r="Q124" s="131">
        <f>P124*G124</f>
        <v>5457.3037037037002</v>
      </c>
      <c r="R124" s="138"/>
      <c r="S124" s="138"/>
      <c r="T124" s="138"/>
      <c r="U124" s="138"/>
      <c r="V124" s="138"/>
      <c r="W124" s="138"/>
      <c r="X124" s="138"/>
      <c r="Y124" s="138"/>
      <c r="Z124" s="138"/>
      <c r="AA124" s="138"/>
      <c r="AB124" s="138"/>
      <c r="AC124" s="138"/>
      <c r="AD124" s="138"/>
      <c r="AE124" s="138"/>
      <c r="AF124" s="138"/>
      <c r="AG124" s="138"/>
      <c r="AH124" s="138"/>
      <c r="AI124" s="138"/>
      <c r="AJ124" s="138"/>
    </row>
    <row r="125" spans="1:36" s="31" customFormat="1">
      <c r="A125" s="85">
        <f>IF(F125&lt;&gt;"",1+MAX($A$2:A124),"")</f>
        <v>78</v>
      </c>
      <c r="B125" s="214"/>
      <c r="C125" s="88"/>
      <c r="D125" s="98" t="s">
        <v>111</v>
      </c>
      <c r="E125" s="62">
        <f>7*208/27</f>
        <v>53.925925925925903</v>
      </c>
      <c r="F125" s="55">
        <v>0</v>
      </c>
      <c r="G125" s="89">
        <f>E125*(1+F125)</f>
        <v>53.925925925925903</v>
      </c>
      <c r="H125" s="60" t="s">
        <v>52</v>
      </c>
      <c r="I125" s="104">
        <v>0.22</v>
      </c>
      <c r="J125" s="105">
        <f>+I125*G125</f>
        <v>11.863703703703701</v>
      </c>
      <c r="K125" s="106">
        <f>'LABOR SHEET'!$C$4</f>
        <v>45</v>
      </c>
      <c r="L125" s="107">
        <f>I125*K125</f>
        <v>9.9</v>
      </c>
      <c r="M125" s="107">
        <f>K125*J125</f>
        <v>533.86666666666599</v>
      </c>
      <c r="N125" s="107">
        <v>5</v>
      </c>
      <c r="O125" s="107">
        <f>N125*G125</f>
        <v>269.62962962963002</v>
      </c>
      <c r="P125" s="107">
        <f>(I125*K125)+N125</f>
        <v>14.9</v>
      </c>
      <c r="Q125" s="131">
        <f>P125*G125</f>
        <v>803.49629629629601</v>
      </c>
      <c r="R125" s="138"/>
      <c r="S125" s="138"/>
      <c r="T125" s="138"/>
      <c r="U125" s="138"/>
      <c r="V125" s="138"/>
      <c r="W125" s="138"/>
      <c r="X125" s="138"/>
      <c r="Y125" s="138"/>
      <c r="Z125" s="138"/>
      <c r="AA125" s="138"/>
      <c r="AB125" s="138"/>
      <c r="AC125" s="138"/>
      <c r="AD125" s="138"/>
      <c r="AE125" s="138"/>
      <c r="AF125" s="138"/>
      <c r="AG125" s="138"/>
      <c r="AH125" s="138"/>
      <c r="AI125" s="138"/>
      <c r="AJ125" s="138"/>
    </row>
    <row r="126" spans="1:36" s="31" customFormat="1">
      <c r="A126" s="85"/>
      <c r="B126" s="214"/>
      <c r="C126" s="88"/>
      <c r="D126" s="98"/>
      <c r="E126" s="62"/>
      <c r="F126" s="55"/>
      <c r="G126" s="89"/>
      <c r="H126" s="60"/>
      <c r="I126" s="104"/>
      <c r="J126" s="105"/>
      <c r="K126" s="106"/>
      <c r="L126" s="107"/>
      <c r="M126" s="107"/>
      <c r="N126" s="107"/>
      <c r="O126" s="107"/>
      <c r="P126" s="107"/>
      <c r="Q126" s="131"/>
      <c r="R126" s="138"/>
      <c r="S126" s="138"/>
      <c r="T126" s="138"/>
      <c r="U126" s="138"/>
      <c r="V126" s="138"/>
      <c r="W126" s="138"/>
      <c r="X126" s="138"/>
      <c r="Y126" s="138"/>
      <c r="Z126" s="138"/>
      <c r="AA126" s="138"/>
      <c r="AB126" s="138"/>
      <c r="AC126" s="138"/>
      <c r="AD126" s="138"/>
      <c r="AE126" s="138"/>
      <c r="AF126" s="138"/>
      <c r="AG126" s="138"/>
      <c r="AH126" s="138"/>
      <c r="AI126" s="138"/>
      <c r="AJ126" s="138"/>
    </row>
    <row r="127" spans="1:36" s="31" customFormat="1">
      <c r="A127" s="85" t="str">
        <f>IF(F127&lt;&gt;"",1+MAX($A$2:A125),"")</f>
        <v/>
      </c>
      <c r="B127" s="214"/>
      <c r="C127" s="88"/>
      <c r="D127" s="97" t="s">
        <v>112</v>
      </c>
      <c r="E127" s="60"/>
      <c r="F127" s="90"/>
      <c r="G127" s="89"/>
      <c r="H127" s="60"/>
      <c r="I127" s="104"/>
      <c r="J127" s="105"/>
      <c r="K127" s="106"/>
      <c r="L127" s="107"/>
      <c r="M127" s="107"/>
      <c r="N127" s="107"/>
      <c r="O127" s="107"/>
      <c r="P127" s="107"/>
      <c r="Q127" s="131"/>
      <c r="R127" s="138"/>
      <c r="S127" s="138"/>
      <c r="T127" s="138"/>
      <c r="U127" s="138"/>
      <c r="V127" s="138"/>
      <c r="W127" s="138"/>
      <c r="X127" s="138"/>
      <c r="Y127" s="138"/>
      <c r="Z127" s="138"/>
      <c r="AA127" s="138"/>
      <c r="AB127" s="138"/>
      <c r="AC127" s="138"/>
      <c r="AD127" s="138"/>
      <c r="AE127" s="138"/>
      <c r="AF127" s="138"/>
      <c r="AG127" s="138"/>
      <c r="AH127" s="138"/>
      <c r="AI127" s="138"/>
      <c r="AJ127" s="138"/>
    </row>
    <row r="128" spans="1:36" s="31" customFormat="1">
      <c r="A128" s="85">
        <f>IF(F128&lt;&gt;"",1+MAX($A$2:A127),"")</f>
        <v>79</v>
      </c>
      <c r="B128" s="214"/>
      <c r="C128" s="88"/>
      <c r="D128" s="80" t="s">
        <v>113</v>
      </c>
      <c r="E128" s="60">
        <v>3</v>
      </c>
      <c r="F128" s="90">
        <v>0</v>
      </c>
      <c r="G128" s="89">
        <f>E128*(1+F128)</f>
        <v>3</v>
      </c>
      <c r="H128" s="60" t="s">
        <v>45</v>
      </c>
      <c r="I128" s="104">
        <v>0.72</v>
      </c>
      <c r="J128" s="105">
        <f>+I128*G128</f>
        <v>2.16</v>
      </c>
      <c r="K128" s="106">
        <f>'LABOR SHEET'!$C$5</f>
        <v>45</v>
      </c>
      <c r="L128" s="107">
        <f>I128*K128</f>
        <v>32.4</v>
      </c>
      <c r="M128" s="107">
        <f>K128*J128</f>
        <v>97.2</v>
      </c>
      <c r="N128" s="107">
        <v>124</v>
      </c>
      <c r="O128" s="107">
        <f t="shared" ref="O128:O130" si="95">N128*G128</f>
        <v>372</v>
      </c>
      <c r="P128" s="107">
        <f t="shared" ref="P128:P130" si="96">(I128*K128)+N128</f>
        <v>156.4</v>
      </c>
      <c r="Q128" s="131">
        <f t="shared" ref="Q128:Q130" si="97">P128*G128</f>
        <v>469.2</v>
      </c>
      <c r="R128" s="138"/>
      <c r="S128" s="138"/>
      <c r="T128" s="138"/>
      <c r="U128" s="138"/>
      <c r="V128" s="138"/>
      <c r="W128" s="138"/>
      <c r="X128" s="138"/>
      <c r="Y128" s="138"/>
      <c r="Z128" s="138"/>
      <c r="AA128" s="138"/>
      <c r="AB128" s="138"/>
      <c r="AC128" s="138"/>
      <c r="AD128" s="138"/>
      <c r="AE128" s="138"/>
      <c r="AF128" s="138"/>
      <c r="AG128" s="138"/>
      <c r="AH128" s="138"/>
      <c r="AI128" s="138"/>
      <c r="AJ128" s="138"/>
    </row>
    <row r="129" spans="1:36" s="31" customFormat="1">
      <c r="A129" s="85">
        <f>IF(F129&lt;&gt;"",1+MAX($A$2:A128),"")</f>
        <v>80</v>
      </c>
      <c r="B129" s="214"/>
      <c r="C129" s="88"/>
      <c r="D129" s="80" t="s">
        <v>114</v>
      </c>
      <c r="E129" s="60">
        <v>3</v>
      </c>
      <c r="F129" s="90">
        <v>0</v>
      </c>
      <c r="G129" s="89">
        <f>E129*(1+F129)</f>
        <v>3</v>
      </c>
      <c r="H129" s="60" t="s">
        <v>45</v>
      </c>
      <c r="I129" s="104">
        <v>0.72</v>
      </c>
      <c r="J129" s="105">
        <f>+I129*G129</f>
        <v>2.16</v>
      </c>
      <c r="K129" s="106">
        <f>'LABOR SHEET'!$C$5</f>
        <v>45</v>
      </c>
      <c r="L129" s="107">
        <f>I129*K129</f>
        <v>32.4</v>
      </c>
      <c r="M129" s="107">
        <f>K129*J129</f>
        <v>97.2</v>
      </c>
      <c r="N129" s="107">
        <v>124</v>
      </c>
      <c r="O129" s="107">
        <f t="shared" si="95"/>
        <v>372</v>
      </c>
      <c r="P129" s="107">
        <f t="shared" si="96"/>
        <v>156.4</v>
      </c>
      <c r="Q129" s="131">
        <f t="shared" si="97"/>
        <v>469.2</v>
      </c>
      <c r="R129" s="138"/>
      <c r="S129" s="138"/>
      <c r="T129" s="138"/>
      <c r="U129" s="138"/>
      <c r="V129" s="138"/>
      <c r="W129" s="138"/>
      <c r="X129" s="138"/>
      <c r="Y129" s="138"/>
      <c r="Z129" s="138"/>
      <c r="AA129" s="138"/>
      <c r="AB129" s="138"/>
      <c r="AC129" s="138"/>
      <c r="AD129" s="138"/>
      <c r="AE129" s="138"/>
      <c r="AF129" s="138"/>
      <c r="AG129" s="138"/>
      <c r="AH129" s="138"/>
      <c r="AI129" s="138"/>
      <c r="AJ129" s="138"/>
    </row>
    <row r="130" spans="1:36" s="31" customFormat="1">
      <c r="A130" s="85">
        <f>IF(F130&lt;&gt;"",1+MAX($A$2:A129),"")</f>
        <v>81</v>
      </c>
      <c r="B130" s="214"/>
      <c r="C130" s="88"/>
      <c r="D130" s="80" t="s">
        <v>115</v>
      </c>
      <c r="E130" s="60">
        <v>3</v>
      </c>
      <c r="F130" s="90">
        <v>0</v>
      </c>
      <c r="G130" s="89">
        <f>E130*(1+F130)</f>
        <v>3</v>
      </c>
      <c r="H130" s="60" t="s">
        <v>45</v>
      </c>
      <c r="I130" s="104">
        <v>0.72</v>
      </c>
      <c r="J130" s="105">
        <f>+I130*G130</f>
        <v>2.16</v>
      </c>
      <c r="K130" s="106">
        <f>'LABOR SHEET'!$C$5</f>
        <v>45</v>
      </c>
      <c r="L130" s="107">
        <f>I130*K130</f>
        <v>32.4</v>
      </c>
      <c r="M130" s="107">
        <f>K130*J130</f>
        <v>97.2</v>
      </c>
      <c r="N130" s="107">
        <v>124</v>
      </c>
      <c r="O130" s="107">
        <f t="shared" si="95"/>
        <v>372</v>
      </c>
      <c r="P130" s="107">
        <f t="shared" si="96"/>
        <v>156.4</v>
      </c>
      <c r="Q130" s="131">
        <f t="shared" si="97"/>
        <v>469.2</v>
      </c>
      <c r="R130" s="138"/>
      <c r="S130" s="138"/>
      <c r="T130" s="138"/>
      <c r="U130" s="138"/>
      <c r="V130" s="138"/>
      <c r="W130" s="138"/>
      <c r="X130" s="138"/>
      <c r="Y130" s="138"/>
      <c r="Z130" s="138"/>
      <c r="AA130" s="138"/>
      <c r="AB130" s="138"/>
      <c r="AC130" s="138"/>
      <c r="AD130" s="138"/>
      <c r="AE130" s="138"/>
      <c r="AF130" s="138"/>
      <c r="AG130" s="138"/>
      <c r="AH130" s="138"/>
      <c r="AI130" s="138"/>
      <c r="AJ130" s="138"/>
    </row>
    <row r="131" spans="1:36" s="31" customFormat="1">
      <c r="A131" s="85"/>
      <c r="B131" s="214"/>
      <c r="C131" s="88"/>
      <c r="D131" s="80"/>
      <c r="E131" s="60"/>
      <c r="F131" s="90"/>
      <c r="G131" s="89"/>
      <c r="H131" s="60"/>
      <c r="I131" s="104"/>
      <c r="J131" s="105"/>
      <c r="K131" s="106"/>
      <c r="L131" s="107"/>
      <c r="M131" s="107"/>
      <c r="N131" s="107"/>
      <c r="O131" s="107"/>
      <c r="P131" s="107"/>
      <c r="Q131" s="131"/>
      <c r="R131" s="138"/>
      <c r="S131" s="138"/>
      <c r="T131" s="138"/>
      <c r="U131" s="138"/>
      <c r="V131" s="138"/>
      <c r="W131" s="138"/>
      <c r="X131" s="138"/>
      <c r="Y131" s="138"/>
      <c r="Z131" s="138"/>
      <c r="AA131" s="138"/>
      <c r="AB131" s="138"/>
      <c r="AC131" s="138"/>
      <c r="AD131" s="138"/>
      <c r="AE131" s="138"/>
      <c r="AF131" s="138"/>
      <c r="AG131" s="138"/>
      <c r="AH131" s="138"/>
      <c r="AI131" s="138"/>
      <c r="AJ131" s="138"/>
    </row>
    <row r="132" spans="1:36" s="31" customFormat="1">
      <c r="A132" s="85" t="str">
        <f>IF(F132&lt;&gt;"",1+MAX($A$2:A130),"")</f>
        <v/>
      </c>
      <c r="B132" s="214"/>
      <c r="C132" s="88"/>
      <c r="D132" s="97" t="s">
        <v>116</v>
      </c>
      <c r="E132" s="60"/>
      <c r="F132" s="90"/>
      <c r="G132" s="89"/>
      <c r="H132" s="60"/>
      <c r="I132" s="104"/>
      <c r="J132" s="105"/>
      <c r="K132" s="106"/>
      <c r="L132" s="107"/>
      <c r="M132" s="107"/>
      <c r="N132" s="107"/>
      <c r="O132" s="107"/>
      <c r="P132" s="107"/>
      <c r="Q132" s="131"/>
      <c r="R132" s="138"/>
      <c r="S132" s="138"/>
      <c r="T132" s="138"/>
      <c r="U132" s="138"/>
      <c r="V132" s="138"/>
      <c r="W132" s="138"/>
      <c r="X132" s="138"/>
      <c r="Y132" s="138"/>
      <c r="Z132" s="138"/>
      <c r="AA132" s="138"/>
      <c r="AB132" s="138"/>
      <c r="AC132" s="138"/>
      <c r="AD132" s="138"/>
      <c r="AE132" s="138"/>
      <c r="AF132" s="138"/>
      <c r="AG132" s="138"/>
      <c r="AH132" s="138"/>
      <c r="AI132" s="138"/>
      <c r="AJ132" s="138"/>
    </row>
    <row r="133" spans="1:36" s="31" customFormat="1">
      <c r="A133" s="85">
        <f>IF(F133&lt;&gt;"",1+MAX($A$2:A132),"")</f>
        <v>82</v>
      </c>
      <c r="B133" s="214"/>
      <c r="C133" s="88"/>
      <c r="D133" s="80" t="s">
        <v>117</v>
      </c>
      <c r="E133" s="62">
        <f>1*1*3.1416/4*2.5*9/27</f>
        <v>0.65449999999999997</v>
      </c>
      <c r="F133" s="55">
        <v>0.1</v>
      </c>
      <c r="G133" s="89">
        <f t="shared" ref="G133:G136" si="98">E133*(1+F133)</f>
        <v>0.71994999999999998</v>
      </c>
      <c r="H133" s="60" t="s">
        <v>52</v>
      </c>
      <c r="I133" s="104">
        <v>2.42</v>
      </c>
      <c r="J133" s="105">
        <f t="shared" ref="J133:J136" si="99">+I133*G133</f>
        <v>1.7422789999999999</v>
      </c>
      <c r="K133" s="106">
        <f>'LABOR SHEET'!$C$5</f>
        <v>45</v>
      </c>
      <c r="L133" s="107">
        <f t="shared" ref="L133:L136" si="100">I133*K133</f>
        <v>108.9</v>
      </c>
      <c r="M133" s="107">
        <f t="shared" ref="M133:M136" si="101">K133*J133</f>
        <v>78.402555000000007</v>
      </c>
      <c r="N133" s="107">
        <v>180</v>
      </c>
      <c r="O133" s="107">
        <f t="shared" ref="O133:O136" si="102">N133*G133</f>
        <v>129.59100000000001</v>
      </c>
      <c r="P133" s="107">
        <f t="shared" ref="P133:P136" si="103">(I133*K133)+N133</f>
        <v>288.89999999999998</v>
      </c>
      <c r="Q133" s="131">
        <f t="shared" ref="Q133:Q136" si="104">P133*G133</f>
        <v>207.99355499999999</v>
      </c>
      <c r="R133" s="138"/>
      <c r="S133" s="138"/>
      <c r="T133" s="138"/>
      <c r="U133" s="138"/>
      <c r="V133" s="138"/>
      <c r="W133" s="138"/>
      <c r="X133" s="138"/>
      <c r="Y133" s="138"/>
      <c r="Z133" s="138"/>
      <c r="AA133" s="138"/>
      <c r="AB133" s="138"/>
      <c r="AC133" s="138"/>
      <c r="AD133" s="138"/>
      <c r="AE133" s="138"/>
      <c r="AF133" s="138"/>
      <c r="AG133" s="138"/>
      <c r="AH133" s="138"/>
      <c r="AI133" s="138"/>
      <c r="AJ133" s="138"/>
    </row>
    <row r="134" spans="1:36" s="31" customFormat="1">
      <c r="A134" s="85">
        <f>IF(F134&lt;&gt;"",1+MAX($A$2:A133),"")</f>
        <v>83</v>
      </c>
      <c r="B134" s="214"/>
      <c r="C134" s="88"/>
      <c r="D134" s="98" t="s">
        <v>70</v>
      </c>
      <c r="E134" s="60">
        <f>3.14*2.5*9</f>
        <v>70.650000000000006</v>
      </c>
      <c r="F134" s="55">
        <v>0.1</v>
      </c>
      <c r="G134" s="89">
        <f t="shared" si="98"/>
        <v>77.715000000000003</v>
      </c>
      <c r="H134" s="60" t="s">
        <v>36</v>
      </c>
      <c r="I134" s="104">
        <v>1.7999999999999999E-2</v>
      </c>
      <c r="J134" s="105">
        <f t="shared" si="99"/>
        <v>1.3988700000000001</v>
      </c>
      <c r="K134" s="106">
        <f>'LABOR SHEET'!$C$5</f>
        <v>45</v>
      </c>
      <c r="L134" s="107">
        <f t="shared" si="100"/>
        <v>0.81</v>
      </c>
      <c r="M134" s="107">
        <f t="shared" si="101"/>
        <v>62.949150000000003</v>
      </c>
      <c r="N134" s="107">
        <v>3</v>
      </c>
      <c r="O134" s="107">
        <f t="shared" si="102"/>
        <v>233.14500000000001</v>
      </c>
      <c r="P134" s="107">
        <f t="shared" si="103"/>
        <v>3.81</v>
      </c>
      <c r="Q134" s="131">
        <f t="shared" si="104"/>
        <v>296.09415000000001</v>
      </c>
      <c r="R134" s="138"/>
      <c r="S134" s="138"/>
      <c r="T134" s="138"/>
      <c r="U134" s="138"/>
      <c r="V134" s="138"/>
      <c r="W134" s="138"/>
      <c r="X134" s="138"/>
      <c r="Y134" s="138"/>
      <c r="Z134" s="138"/>
      <c r="AA134" s="138"/>
      <c r="AB134" s="138"/>
      <c r="AC134" s="138"/>
      <c r="AD134" s="138"/>
      <c r="AE134" s="138"/>
      <c r="AF134" s="138"/>
      <c r="AG134" s="138"/>
      <c r="AH134" s="138"/>
      <c r="AI134" s="138"/>
      <c r="AJ134" s="138"/>
    </row>
    <row r="135" spans="1:36" s="31" customFormat="1">
      <c r="A135" s="85">
        <f>IF(F135&lt;&gt;"",1+MAX($A$2:A134),"")</f>
        <v>84</v>
      </c>
      <c r="B135" s="214"/>
      <c r="C135" s="88"/>
      <c r="D135" s="98" t="s">
        <v>111</v>
      </c>
      <c r="E135" s="62">
        <f>1.5*1.5*3.1416/4*2.5*9/27</f>
        <v>1.4726250000000001</v>
      </c>
      <c r="F135" s="55">
        <v>0</v>
      </c>
      <c r="G135" s="89">
        <f t="shared" si="98"/>
        <v>1.4726250000000001</v>
      </c>
      <c r="H135" s="60" t="s">
        <v>52</v>
      </c>
      <c r="I135" s="104">
        <v>0.22</v>
      </c>
      <c r="J135" s="105">
        <f t="shared" si="99"/>
        <v>0.32397749999999997</v>
      </c>
      <c r="K135" s="106">
        <f>'LABOR SHEET'!$C$4</f>
        <v>45</v>
      </c>
      <c r="L135" s="107">
        <f t="shared" si="100"/>
        <v>9.9</v>
      </c>
      <c r="M135" s="107">
        <f t="shared" si="101"/>
        <v>14.5789875</v>
      </c>
      <c r="N135" s="107">
        <v>5</v>
      </c>
      <c r="O135" s="107">
        <f t="shared" si="102"/>
        <v>7.3631250000000001</v>
      </c>
      <c r="P135" s="107">
        <f t="shared" si="103"/>
        <v>14.9</v>
      </c>
      <c r="Q135" s="131">
        <f t="shared" si="104"/>
        <v>21.9421125</v>
      </c>
      <c r="R135" s="138"/>
      <c r="S135" s="138"/>
      <c r="T135" s="138"/>
      <c r="U135" s="138"/>
      <c r="V135" s="138"/>
      <c r="W135" s="138"/>
      <c r="X135" s="138"/>
      <c r="Y135" s="138"/>
      <c r="Z135" s="138"/>
      <c r="AA135" s="138"/>
      <c r="AB135" s="138"/>
      <c r="AC135" s="138"/>
      <c r="AD135" s="138"/>
      <c r="AE135" s="138"/>
      <c r="AF135" s="138"/>
      <c r="AG135" s="138"/>
      <c r="AH135" s="138"/>
      <c r="AI135" s="138"/>
      <c r="AJ135" s="138"/>
    </row>
    <row r="136" spans="1:36" s="31" customFormat="1">
      <c r="A136" s="85">
        <f>IF(F136&lt;&gt;"",1+MAX($A$2:A135),"")</f>
        <v>85</v>
      </c>
      <c r="B136" s="214"/>
      <c r="C136" s="88"/>
      <c r="D136" s="98" t="s">
        <v>118</v>
      </c>
      <c r="E136" s="60">
        <f>1-0.7</f>
        <v>0.3</v>
      </c>
      <c r="F136" s="55">
        <v>0</v>
      </c>
      <c r="G136" s="89">
        <f t="shared" si="98"/>
        <v>0.3</v>
      </c>
      <c r="H136" s="60" t="s">
        <v>52</v>
      </c>
      <c r="I136" s="104">
        <v>0.2</v>
      </c>
      <c r="J136" s="105">
        <f t="shared" si="99"/>
        <v>0.06</v>
      </c>
      <c r="K136" s="106">
        <f>'LABOR SHEET'!$C$4</f>
        <v>45</v>
      </c>
      <c r="L136" s="107">
        <f t="shared" si="100"/>
        <v>9</v>
      </c>
      <c r="M136" s="107">
        <f t="shared" si="101"/>
        <v>2.7</v>
      </c>
      <c r="N136" s="107">
        <v>5</v>
      </c>
      <c r="O136" s="107">
        <f t="shared" si="102"/>
        <v>1.5</v>
      </c>
      <c r="P136" s="107">
        <f t="shared" si="103"/>
        <v>14</v>
      </c>
      <c r="Q136" s="131">
        <f t="shared" si="104"/>
        <v>4.2</v>
      </c>
      <c r="R136" s="138"/>
      <c r="S136" s="138"/>
      <c r="T136" s="138"/>
      <c r="U136" s="138"/>
      <c r="V136" s="138"/>
      <c r="W136" s="138"/>
      <c r="X136" s="138"/>
      <c r="Y136" s="138"/>
      <c r="Z136" s="138"/>
      <c r="AA136" s="138"/>
      <c r="AB136" s="138"/>
      <c r="AC136" s="138"/>
      <c r="AD136" s="138"/>
      <c r="AE136" s="138"/>
      <c r="AF136" s="138"/>
      <c r="AG136" s="138"/>
      <c r="AH136" s="138"/>
      <c r="AI136" s="138"/>
      <c r="AJ136" s="138"/>
    </row>
    <row r="137" spans="1:36" s="31" customFormat="1">
      <c r="A137" s="85"/>
      <c r="B137" s="214"/>
      <c r="C137" s="88"/>
      <c r="D137" s="98"/>
      <c r="E137" s="60"/>
      <c r="F137" s="55"/>
      <c r="G137" s="89"/>
      <c r="H137" s="60"/>
      <c r="I137" s="104"/>
      <c r="J137" s="105"/>
      <c r="K137" s="106"/>
      <c r="L137" s="107"/>
      <c r="M137" s="107"/>
      <c r="N137" s="107"/>
      <c r="O137" s="107"/>
      <c r="P137" s="107"/>
      <c r="Q137" s="131"/>
      <c r="R137" s="138"/>
      <c r="S137" s="138"/>
      <c r="T137" s="138"/>
      <c r="U137" s="138"/>
      <c r="V137" s="138"/>
      <c r="W137" s="138"/>
      <c r="X137" s="138"/>
      <c r="Y137" s="138"/>
      <c r="Z137" s="138"/>
      <c r="AA137" s="138"/>
      <c r="AB137" s="138"/>
      <c r="AC137" s="138"/>
      <c r="AD137" s="138"/>
      <c r="AE137" s="138"/>
      <c r="AF137" s="138"/>
      <c r="AG137" s="138"/>
      <c r="AH137" s="138"/>
      <c r="AI137" s="138"/>
      <c r="AJ137" s="138"/>
    </row>
    <row r="138" spans="1:36" s="31" customFormat="1">
      <c r="A138" s="85" t="str">
        <f>IF(F138&lt;&gt;"",1+MAX($A$2:A136),"")</f>
        <v/>
      </c>
      <c r="B138" s="214"/>
      <c r="C138" s="88"/>
      <c r="D138" s="97" t="s">
        <v>119</v>
      </c>
      <c r="E138" s="60"/>
      <c r="F138" s="90"/>
      <c r="G138" s="89"/>
      <c r="H138" s="60"/>
      <c r="I138" s="104"/>
      <c r="J138" s="105"/>
      <c r="K138" s="106"/>
      <c r="L138" s="107"/>
      <c r="M138" s="107"/>
      <c r="N138" s="107"/>
      <c r="O138" s="107"/>
      <c r="P138" s="107"/>
      <c r="Q138" s="131"/>
      <c r="R138" s="138"/>
      <c r="S138" s="138"/>
      <c r="T138" s="138"/>
      <c r="U138" s="138"/>
      <c r="V138" s="138"/>
      <c r="W138" s="138"/>
      <c r="X138" s="138"/>
      <c r="Y138" s="138"/>
      <c r="Z138" s="138"/>
      <c r="AA138" s="138"/>
      <c r="AB138" s="138"/>
      <c r="AC138" s="138"/>
      <c r="AD138" s="138"/>
      <c r="AE138" s="138"/>
      <c r="AF138" s="138"/>
      <c r="AG138" s="138"/>
      <c r="AH138" s="138"/>
      <c r="AI138" s="138"/>
      <c r="AJ138" s="138"/>
    </row>
    <row r="139" spans="1:36" s="31" customFormat="1">
      <c r="A139" s="85">
        <f>IF(F139&lt;&gt;"",1+MAX($A$2:A138),"")</f>
        <v>86</v>
      </c>
      <c r="B139" s="214"/>
      <c r="C139" s="88"/>
      <c r="D139" s="80" t="s">
        <v>120</v>
      </c>
      <c r="E139" s="62">
        <f>2.5*2.5*2.5*6/27</f>
        <v>3.4722222222222201</v>
      </c>
      <c r="F139" s="55">
        <v>0.1</v>
      </c>
      <c r="G139" s="89">
        <f t="shared" ref="G139:G142" si="105">E139*(1+F139)</f>
        <v>3.8194444444444402</v>
      </c>
      <c r="H139" s="60" t="s">
        <v>52</v>
      </c>
      <c r="I139" s="104">
        <v>2.42</v>
      </c>
      <c r="J139" s="105">
        <f>+I139*G139</f>
        <v>9.2430555555555394</v>
      </c>
      <c r="K139" s="106">
        <f>'LABOR SHEET'!$C$5</f>
        <v>45</v>
      </c>
      <c r="L139" s="107">
        <f>I139*K139</f>
        <v>108.9</v>
      </c>
      <c r="M139" s="107">
        <f>K139*J139</f>
        <v>415.93749999999898</v>
      </c>
      <c r="N139" s="107">
        <v>180</v>
      </c>
      <c r="O139" s="107">
        <f>N139*G139</f>
        <v>687.49999999999898</v>
      </c>
      <c r="P139" s="107">
        <f>(I139*K139)+N139</f>
        <v>288.89999999999998</v>
      </c>
      <c r="Q139" s="131">
        <f>P139*G139</f>
        <v>1103.4375</v>
      </c>
      <c r="R139" s="138"/>
      <c r="S139" s="138"/>
      <c r="T139" s="138"/>
      <c r="U139" s="138"/>
      <c r="V139" s="138"/>
      <c r="W139" s="138"/>
      <c r="X139" s="138"/>
      <c r="Y139" s="138"/>
      <c r="Z139" s="138"/>
      <c r="AA139" s="138"/>
      <c r="AB139" s="138"/>
      <c r="AC139" s="138"/>
      <c r="AD139" s="138"/>
      <c r="AE139" s="138"/>
      <c r="AF139" s="138"/>
      <c r="AG139" s="138"/>
      <c r="AH139" s="138"/>
      <c r="AI139" s="138"/>
      <c r="AJ139" s="138"/>
    </row>
    <row r="140" spans="1:36" s="31" customFormat="1">
      <c r="A140" s="85">
        <f>IF(F140&lt;&gt;"",1+MAX($A$2:A139),"")</f>
        <v>87</v>
      </c>
      <c r="B140" s="214"/>
      <c r="C140" s="88"/>
      <c r="D140" s="98" t="s">
        <v>70</v>
      </c>
      <c r="E140" s="60">
        <f>2.5*4*6</f>
        <v>60</v>
      </c>
      <c r="F140" s="55">
        <v>0.1</v>
      </c>
      <c r="G140" s="89">
        <f t="shared" si="105"/>
        <v>66</v>
      </c>
      <c r="H140" s="60" t="s">
        <v>36</v>
      </c>
      <c r="I140" s="104">
        <v>1.7999999999999999E-2</v>
      </c>
      <c r="J140" s="105">
        <f t="shared" ref="J140:J142" si="106">+I140*G140</f>
        <v>1.1879999999999999</v>
      </c>
      <c r="K140" s="106">
        <f>'LABOR SHEET'!$C$5</f>
        <v>45</v>
      </c>
      <c r="L140" s="107">
        <f t="shared" ref="L140:L142" si="107">I140*K140</f>
        <v>0.81</v>
      </c>
      <c r="M140" s="107">
        <f t="shared" ref="M140:M142" si="108">K140*J140</f>
        <v>53.46</v>
      </c>
      <c r="N140" s="107">
        <v>3</v>
      </c>
      <c r="O140" s="107">
        <f t="shared" ref="O140:O142" si="109">N140*G140</f>
        <v>198</v>
      </c>
      <c r="P140" s="107">
        <f t="shared" ref="P140:P142" si="110">(I140*K140)+N140</f>
        <v>3.81</v>
      </c>
      <c r="Q140" s="131">
        <f t="shared" ref="Q140:Q142" si="111">P140*G140</f>
        <v>251.46</v>
      </c>
      <c r="R140" s="138"/>
      <c r="S140" s="138"/>
      <c r="T140" s="138"/>
      <c r="U140" s="138"/>
      <c r="V140" s="138"/>
      <c r="W140" s="138"/>
      <c r="X140" s="138"/>
      <c r="Y140" s="138"/>
      <c r="Z140" s="138"/>
      <c r="AA140" s="138"/>
      <c r="AB140" s="138"/>
      <c r="AC140" s="138"/>
      <c r="AD140" s="138"/>
      <c r="AE140" s="138"/>
      <c r="AF140" s="138"/>
      <c r="AG140" s="138"/>
      <c r="AH140" s="138"/>
      <c r="AI140" s="138"/>
      <c r="AJ140" s="138"/>
    </row>
    <row r="141" spans="1:36" s="31" customFormat="1">
      <c r="A141" s="85">
        <f>IF(F141&lt;&gt;"",1+MAX($A$2:A140),"")</f>
        <v>88</v>
      </c>
      <c r="B141" s="214"/>
      <c r="C141" s="88"/>
      <c r="D141" s="98" t="s">
        <v>111</v>
      </c>
      <c r="E141" s="62">
        <f>3.5*3.5*2.5*6/27</f>
        <v>6.8055555555555598</v>
      </c>
      <c r="F141" s="55">
        <v>0</v>
      </c>
      <c r="G141" s="89">
        <f t="shared" si="105"/>
        <v>6.8055555555555598</v>
      </c>
      <c r="H141" s="60" t="s">
        <v>52</v>
      </c>
      <c r="I141" s="104">
        <v>0.22</v>
      </c>
      <c r="J141" s="105">
        <f t="shared" si="106"/>
        <v>1.49722222222222</v>
      </c>
      <c r="K141" s="106">
        <f>'LABOR SHEET'!$C$4</f>
        <v>45</v>
      </c>
      <c r="L141" s="107">
        <f t="shared" si="107"/>
        <v>9.9</v>
      </c>
      <c r="M141" s="107">
        <f t="shared" si="108"/>
        <v>67.374999999999901</v>
      </c>
      <c r="N141" s="107">
        <v>5</v>
      </c>
      <c r="O141" s="107">
        <f t="shared" si="109"/>
        <v>34.0277777777778</v>
      </c>
      <c r="P141" s="107">
        <f t="shared" si="110"/>
        <v>14.9</v>
      </c>
      <c r="Q141" s="131">
        <f t="shared" si="111"/>
        <v>101.402777777778</v>
      </c>
      <c r="R141" s="138"/>
      <c r="S141" s="138"/>
      <c r="T141" s="138"/>
      <c r="U141" s="138"/>
      <c r="V141" s="138"/>
      <c r="W141" s="138"/>
      <c r="X141" s="138"/>
      <c r="Y141" s="138"/>
      <c r="Z141" s="138"/>
      <c r="AA141" s="138"/>
      <c r="AB141" s="138"/>
      <c r="AC141" s="138"/>
      <c r="AD141" s="138"/>
      <c r="AE141" s="138"/>
      <c r="AF141" s="138"/>
      <c r="AG141" s="138"/>
      <c r="AH141" s="138"/>
      <c r="AI141" s="138"/>
      <c r="AJ141" s="138"/>
    </row>
    <row r="142" spans="1:36" s="31" customFormat="1">
      <c r="A142" s="85">
        <f>IF(F142&lt;&gt;"",1+MAX($A$2:A141),"")</f>
        <v>89</v>
      </c>
      <c r="B142" s="214"/>
      <c r="C142" s="88"/>
      <c r="D142" s="98" t="s">
        <v>118</v>
      </c>
      <c r="E142" s="60">
        <v>4</v>
      </c>
      <c r="F142" s="55">
        <v>0</v>
      </c>
      <c r="G142" s="89">
        <f t="shared" si="105"/>
        <v>4</v>
      </c>
      <c r="H142" s="60" t="s">
        <v>52</v>
      </c>
      <c r="I142" s="104">
        <v>0.2</v>
      </c>
      <c r="J142" s="105">
        <f t="shared" si="106"/>
        <v>0.8</v>
      </c>
      <c r="K142" s="106">
        <f>'LABOR SHEET'!$C$4</f>
        <v>45</v>
      </c>
      <c r="L142" s="107">
        <f t="shared" si="107"/>
        <v>9</v>
      </c>
      <c r="M142" s="107">
        <f t="shared" si="108"/>
        <v>36</v>
      </c>
      <c r="N142" s="107">
        <v>5</v>
      </c>
      <c r="O142" s="107">
        <f t="shared" si="109"/>
        <v>20</v>
      </c>
      <c r="P142" s="107">
        <f t="shared" si="110"/>
        <v>14</v>
      </c>
      <c r="Q142" s="131">
        <f t="shared" si="111"/>
        <v>56</v>
      </c>
      <c r="R142" s="138"/>
      <c r="S142" s="138"/>
      <c r="T142" s="138"/>
      <c r="U142" s="138"/>
      <c r="V142" s="138"/>
      <c r="W142" s="138"/>
      <c r="X142" s="138"/>
      <c r="Y142" s="138"/>
      <c r="Z142" s="138"/>
      <c r="AA142" s="138"/>
      <c r="AB142" s="138"/>
      <c r="AC142" s="138"/>
      <c r="AD142" s="138"/>
      <c r="AE142" s="138"/>
      <c r="AF142" s="138"/>
      <c r="AG142" s="138"/>
      <c r="AH142" s="138"/>
      <c r="AI142" s="138"/>
      <c r="AJ142" s="138"/>
    </row>
    <row r="143" spans="1:36" s="31" customFormat="1">
      <c r="A143" s="85"/>
      <c r="B143" s="214"/>
      <c r="C143" s="88"/>
      <c r="D143" s="98"/>
      <c r="E143" s="60"/>
      <c r="F143" s="55"/>
      <c r="G143" s="89"/>
      <c r="H143" s="60"/>
      <c r="I143" s="104"/>
      <c r="J143" s="105"/>
      <c r="K143" s="106"/>
      <c r="L143" s="107"/>
      <c r="M143" s="107"/>
      <c r="N143" s="107"/>
      <c r="O143" s="107"/>
      <c r="P143" s="107"/>
      <c r="Q143" s="131"/>
      <c r="R143" s="138"/>
      <c r="S143" s="138"/>
      <c r="T143" s="138"/>
      <c r="U143" s="138"/>
      <c r="V143" s="138"/>
      <c r="W143" s="138"/>
      <c r="X143" s="138"/>
      <c r="Y143" s="138"/>
      <c r="Z143" s="138"/>
      <c r="AA143" s="138"/>
      <c r="AB143" s="138"/>
      <c r="AC143" s="138"/>
      <c r="AD143" s="138"/>
      <c r="AE143" s="138"/>
      <c r="AF143" s="138"/>
      <c r="AG143" s="138"/>
      <c r="AH143" s="138"/>
      <c r="AI143" s="138"/>
      <c r="AJ143" s="138"/>
    </row>
    <row r="144" spans="1:36" s="31" customFormat="1">
      <c r="A144" s="85" t="str">
        <f>IF(F144&lt;&gt;"",1+MAX($A$2:A142),"")</f>
        <v/>
      </c>
      <c r="B144" s="214"/>
      <c r="C144" s="88"/>
      <c r="D144" s="97" t="s">
        <v>121</v>
      </c>
      <c r="E144" s="60"/>
      <c r="F144" s="90"/>
      <c r="G144" s="89"/>
      <c r="H144" s="60"/>
      <c r="I144" s="104"/>
      <c r="J144" s="105"/>
      <c r="K144" s="106"/>
      <c r="L144" s="107"/>
      <c r="M144" s="107"/>
      <c r="N144" s="107"/>
      <c r="O144" s="107"/>
      <c r="P144" s="107"/>
      <c r="Q144" s="131"/>
      <c r="R144" s="138"/>
      <c r="S144" s="138"/>
      <c r="T144" s="138"/>
      <c r="U144" s="138"/>
      <c r="V144" s="138"/>
      <c r="W144" s="138"/>
      <c r="X144" s="138"/>
      <c r="Y144" s="138"/>
      <c r="Z144" s="138"/>
      <c r="AA144" s="138"/>
      <c r="AB144" s="138"/>
      <c r="AC144" s="138"/>
      <c r="AD144" s="138"/>
      <c r="AE144" s="138"/>
      <c r="AF144" s="138"/>
      <c r="AG144" s="138"/>
      <c r="AH144" s="138"/>
      <c r="AI144" s="138"/>
      <c r="AJ144" s="138"/>
    </row>
    <row r="145" spans="1:36" s="31" customFormat="1">
      <c r="A145" s="85">
        <f>IF(F145&lt;&gt;"",1+MAX($A$2:A144),"")</f>
        <v>90</v>
      </c>
      <c r="B145" s="214"/>
      <c r="C145" s="88"/>
      <c r="D145" s="78" t="s">
        <v>122</v>
      </c>
      <c r="E145" s="60">
        <v>346</v>
      </c>
      <c r="F145" s="61">
        <v>0.05</v>
      </c>
      <c r="G145" s="89">
        <f>E145*(1+F145)</f>
        <v>363.3</v>
      </c>
      <c r="H145" s="60" t="s">
        <v>38</v>
      </c>
      <c r="I145" s="104">
        <v>0.32</v>
      </c>
      <c r="J145" s="105">
        <f>+I145*G145</f>
        <v>116.256</v>
      </c>
      <c r="K145" s="106">
        <f>'LABOR SHEET'!$C$5</f>
        <v>45</v>
      </c>
      <c r="L145" s="107">
        <f>I145*K145</f>
        <v>14.4</v>
      </c>
      <c r="M145" s="107">
        <f>K145*J145</f>
        <v>5231.5200000000004</v>
      </c>
      <c r="N145" s="107">
        <v>38</v>
      </c>
      <c r="O145" s="107">
        <f>N145*G145</f>
        <v>13805.4</v>
      </c>
      <c r="P145" s="107">
        <f>(I145*K145)+N145</f>
        <v>52.4</v>
      </c>
      <c r="Q145" s="131">
        <f>P145*G145</f>
        <v>19036.919999999998</v>
      </c>
      <c r="R145" s="138"/>
      <c r="S145" s="138"/>
      <c r="T145" s="138"/>
      <c r="U145" s="138"/>
      <c r="V145" s="138"/>
      <c r="W145" s="138"/>
      <c r="X145" s="138"/>
      <c r="Y145" s="138"/>
      <c r="Z145" s="138"/>
      <c r="AA145" s="138"/>
      <c r="AB145" s="138"/>
      <c r="AC145" s="138"/>
      <c r="AD145" s="138"/>
      <c r="AE145" s="138"/>
      <c r="AF145" s="138"/>
      <c r="AG145" s="138"/>
      <c r="AH145" s="138"/>
      <c r="AI145" s="138"/>
      <c r="AJ145" s="138"/>
    </row>
    <row r="146" spans="1:36" s="31" customFormat="1">
      <c r="A146" s="85"/>
      <c r="B146" s="214"/>
      <c r="C146" s="88"/>
      <c r="D146" s="78"/>
      <c r="E146" s="60"/>
      <c r="F146" s="61"/>
      <c r="G146" s="89"/>
      <c r="H146" s="60"/>
      <c r="I146" s="104"/>
      <c r="J146" s="105"/>
      <c r="K146" s="106"/>
      <c r="L146" s="107"/>
      <c r="M146" s="107"/>
      <c r="N146" s="107"/>
      <c r="O146" s="107"/>
      <c r="P146" s="107"/>
      <c r="Q146" s="131"/>
      <c r="R146" s="138"/>
      <c r="S146" s="138"/>
      <c r="T146" s="138"/>
      <c r="U146" s="138"/>
      <c r="V146" s="138"/>
      <c r="W146" s="138"/>
      <c r="X146" s="138"/>
      <c r="Y146" s="138"/>
      <c r="Z146" s="138"/>
      <c r="AA146" s="138"/>
      <c r="AB146" s="138"/>
      <c r="AC146" s="138"/>
      <c r="AD146" s="138"/>
      <c r="AE146" s="138"/>
      <c r="AF146" s="138"/>
      <c r="AG146" s="138"/>
      <c r="AH146" s="138"/>
      <c r="AI146" s="138"/>
      <c r="AJ146" s="138"/>
    </row>
    <row r="147" spans="1:36" s="31" customFormat="1">
      <c r="A147" s="85" t="str">
        <f>IF(F147&lt;&gt;"",1+MAX($A$2:A145),"")</f>
        <v/>
      </c>
      <c r="B147" s="214"/>
      <c r="C147" s="88"/>
      <c r="D147" s="97" t="s">
        <v>123</v>
      </c>
      <c r="E147" s="60"/>
      <c r="F147" s="90"/>
      <c r="G147" s="89"/>
      <c r="H147" s="60"/>
      <c r="I147" s="104"/>
      <c r="J147" s="105"/>
      <c r="K147" s="106"/>
      <c r="L147" s="107"/>
      <c r="M147" s="107"/>
      <c r="N147" s="107"/>
      <c r="O147" s="107"/>
      <c r="P147" s="107"/>
      <c r="Q147" s="131"/>
      <c r="R147" s="138"/>
      <c r="S147" s="138"/>
      <c r="T147" s="138"/>
      <c r="U147" s="138"/>
      <c r="V147" s="138"/>
      <c r="W147" s="138"/>
      <c r="X147" s="138"/>
      <c r="Y147" s="138"/>
      <c r="Z147" s="138"/>
      <c r="AA147" s="138"/>
      <c r="AB147" s="138"/>
      <c r="AC147" s="138"/>
      <c r="AD147" s="138"/>
      <c r="AE147" s="138"/>
      <c r="AF147" s="138"/>
      <c r="AG147" s="138"/>
      <c r="AH147" s="138"/>
      <c r="AI147" s="138"/>
      <c r="AJ147" s="138"/>
    </row>
    <row r="148" spans="1:36" s="31" customFormat="1" ht="31.2">
      <c r="A148" s="85">
        <f>IF(F148&lt;&gt;"",1+MAX($A$2:A147),"")</f>
        <v>91</v>
      </c>
      <c r="B148" s="214"/>
      <c r="C148" s="88"/>
      <c r="D148" s="80" t="s">
        <v>124</v>
      </c>
      <c r="E148" s="60">
        <v>6</v>
      </c>
      <c r="F148" s="90">
        <v>0</v>
      </c>
      <c r="G148" s="89">
        <f>E148*(1+F148)</f>
        <v>6</v>
      </c>
      <c r="H148" s="60" t="s">
        <v>45</v>
      </c>
      <c r="I148" s="104">
        <f>0.3*8</f>
        <v>2.4</v>
      </c>
      <c r="J148" s="105">
        <f>+I148*G148</f>
        <v>14.4</v>
      </c>
      <c r="K148" s="106">
        <f>'LABOR SHEET'!$C$5</f>
        <v>45</v>
      </c>
      <c r="L148" s="107">
        <f>I148*K148</f>
        <v>108</v>
      </c>
      <c r="M148" s="107">
        <f>K148*J148</f>
        <v>648</v>
      </c>
      <c r="N148" s="107">
        <f>34*8</f>
        <v>272</v>
      </c>
      <c r="O148" s="107">
        <f>N148*G148</f>
        <v>1632</v>
      </c>
      <c r="P148" s="107">
        <f>(I148*K148)+N148</f>
        <v>380</v>
      </c>
      <c r="Q148" s="131">
        <f>P148*G148</f>
        <v>2280</v>
      </c>
      <c r="R148" s="138"/>
      <c r="S148" s="138"/>
      <c r="T148" s="138"/>
      <c r="U148" s="138"/>
      <c r="V148" s="138"/>
      <c r="W148" s="138"/>
      <c r="X148" s="138"/>
      <c r="Y148" s="138"/>
      <c r="Z148" s="138"/>
      <c r="AA148" s="138"/>
      <c r="AB148" s="138"/>
      <c r="AC148" s="138"/>
      <c r="AD148" s="138"/>
      <c r="AE148" s="138"/>
      <c r="AF148" s="138"/>
      <c r="AG148" s="138"/>
      <c r="AH148" s="138"/>
      <c r="AI148" s="138"/>
      <c r="AJ148" s="138"/>
    </row>
    <row r="149" spans="1:36" s="31" customFormat="1">
      <c r="A149" s="85"/>
      <c r="B149" s="214"/>
      <c r="C149" s="88"/>
      <c r="D149" s="80"/>
      <c r="E149" s="60"/>
      <c r="F149" s="90"/>
      <c r="G149" s="89"/>
      <c r="H149" s="60"/>
      <c r="I149" s="104"/>
      <c r="J149" s="105"/>
      <c r="K149" s="106"/>
      <c r="L149" s="107"/>
      <c r="M149" s="107"/>
      <c r="N149" s="107"/>
      <c r="O149" s="107"/>
      <c r="P149" s="107"/>
      <c r="Q149" s="131"/>
      <c r="R149" s="138"/>
      <c r="S149" s="138"/>
      <c r="T149" s="138"/>
      <c r="U149" s="138"/>
      <c r="V149" s="138"/>
      <c r="W149" s="138"/>
      <c r="X149" s="138"/>
      <c r="Y149" s="138"/>
      <c r="Z149" s="138"/>
      <c r="AA149" s="138"/>
      <c r="AB149" s="138"/>
      <c r="AC149" s="138"/>
      <c r="AD149" s="138"/>
      <c r="AE149" s="138"/>
      <c r="AF149" s="138"/>
      <c r="AG149" s="138"/>
      <c r="AH149" s="138"/>
      <c r="AI149" s="138"/>
      <c r="AJ149" s="138"/>
    </row>
    <row r="150" spans="1:36" s="31" customFormat="1">
      <c r="A150" s="85" t="str">
        <f>IF(F150&lt;&gt;"",1+MAX($A$2:A148),"")</f>
        <v/>
      </c>
      <c r="B150" s="214"/>
      <c r="C150" s="88"/>
      <c r="D150" s="97" t="s">
        <v>125</v>
      </c>
      <c r="E150" s="60"/>
      <c r="F150" s="90"/>
      <c r="G150" s="89"/>
      <c r="H150" s="60"/>
      <c r="I150" s="104"/>
      <c r="J150" s="105"/>
      <c r="K150" s="106"/>
      <c r="L150" s="107"/>
      <c r="M150" s="107"/>
      <c r="N150" s="107"/>
      <c r="O150" s="107"/>
      <c r="P150" s="107"/>
      <c r="Q150" s="131"/>
      <c r="R150" s="138"/>
      <c r="S150" s="138"/>
      <c r="T150" s="138"/>
      <c r="U150" s="138"/>
      <c r="V150" s="138"/>
      <c r="W150" s="138"/>
      <c r="X150" s="138"/>
      <c r="Y150" s="138"/>
      <c r="Z150" s="138"/>
      <c r="AA150" s="138"/>
      <c r="AB150" s="138"/>
      <c r="AC150" s="138"/>
      <c r="AD150" s="138"/>
      <c r="AE150" s="138"/>
      <c r="AF150" s="138"/>
      <c r="AG150" s="138"/>
      <c r="AH150" s="138"/>
      <c r="AI150" s="138"/>
      <c r="AJ150" s="138"/>
    </row>
    <row r="151" spans="1:36" s="31" customFormat="1" ht="46.8">
      <c r="A151" s="85">
        <f>IF(F151&lt;&gt;"",1+MAX($A$2:A150),"")</f>
        <v>92</v>
      </c>
      <c r="B151" s="214"/>
      <c r="C151" s="88"/>
      <c r="D151" s="80" t="s">
        <v>126</v>
      </c>
      <c r="E151" s="62">
        <f>0.5*2935/27</f>
        <v>54.351851851851897</v>
      </c>
      <c r="F151" s="55">
        <v>0.1</v>
      </c>
      <c r="G151" s="89">
        <f>E151*(1+F151)</f>
        <v>59.787037037037102</v>
      </c>
      <c r="H151" s="60" t="s">
        <v>52</v>
      </c>
      <c r="I151" s="104">
        <v>2.7</v>
      </c>
      <c r="J151" s="105">
        <f t="shared" ref="J151:J153" si="112">+I151*G151</f>
        <v>161.42500000000001</v>
      </c>
      <c r="K151" s="106">
        <f>'LABOR SHEET'!$C$5</f>
        <v>45</v>
      </c>
      <c r="L151" s="107">
        <f t="shared" ref="L151:L153" si="113">I151*K151</f>
        <v>121.5</v>
      </c>
      <c r="M151" s="107">
        <f t="shared" ref="M151:M153" si="114">K151*J151</f>
        <v>7264.12500000001</v>
      </c>
      <c r="N151" s="107">
        <v>235</v>
      </c>
      <c r="O151" s="107">
        <f>N151*G151</f>
        <v>14049.953703703701</v>
      </c>
      <c r="P151" s="107">
        <f>(I151*K151)+N151</f>
        <v>356.5</v>
      </c>
      <c r="Q151" s="131">
        <f>P151*G151</f>
        <v>21314.078703703701</v>
      </c>
      <c r="R151" s="138"/>
      <c r="S151" s="138"/>
      <c r="T151" s="138"/>
      <c r="U151" s="138"/>
      <c r="V151" s="138"/>
      <c r="W151" s="138"/>
      <c r="X151" s="138"/>
      <c r="Y151" s="138"/>
      <c r="Z151" s="138"/>
      <c r="AA151" s="138"/>
      <c r="AB151" s="138"/>
      <c r="AC151" s="138"/>
      <c r="AD151" s="138"/>
      <c r="AE151" s="138"/>
      <c r="AF151" s="138"/>
      <c r="AG151" s="138"/>
      <c r="AH151" s="138"/>
      <c r="AI151" s="138"/>
      <c r="AJ151" s="138"/>
    </row>
    <row r="152" spans="1:36" s="31" customFormat="1">
      <c r="A152" s="85">
        <f>IF(F152&lt;&gt;"",1+MAX($A$2:A151),"")</f>
        <v>93</v>
      </c>
      <c r="B152" s="214"/>
      <c r="C152" s="88"/>
      <c r="D152" s="98" t="s">
        <v>75</v>
      </c>
      <c r="E152" s="60">
        <v>2935</v>
      </c>
      <c r="F152" s="55">
        <v>0.1</v>
      </c>
      <c r="G152" s="89">
        <f>E152*(1+F152)</f>
        <v>3228.5</v>
      </c>
      <c r="H152" s="60" t="s">
        <v>36</v>
      </c>
      <c r="I152" s="104">
        <v>7.0000000000000001E-3</v>
      </c>
      <c r="J152" s="105">
        <f t="shared" si="112"/>
        <v>22.599499999999999</v>
      </c>
      <c r="K152" s="106">
        <f>'LABOR SHEET'!$C$5</f>
        <v>45</v>
      </c>
      <c r="L152" s="107">
        <f t="shared" si="113"/>
        <v>0.315</v>
      </c>
      <c r="M152" s="107">
        <f t="shared" si="114"/>
        <v>1016.9775</v>
      </c>
      <c r="N152" s="107">
        <v>0.4</v>
      </c>
      <c r="O152" s="107">
        <f>N152*G152</f>
        <v>1291.4000000000001</v>
      </c>
      <c r="P152" s="107">
        <f>(I152*K152)+N152</f>
        <v>0.71499999999999997</v>
      </c>
      <c r="Q152" s="131">
        <f>P152*G152</f>
        <v>2308.3775000000001</v>
      </c>
      <c r="R152" s="138"/>
      <c r="S152" s="138"/>
      <c r="T152" s="138"/>
      <c r="U152" s="138"/>
      <c r="V152" s="138"/>
      <c r="W152" s="138"/>
      <c r="X152" s="138"/>
      <c r="Y152" s="138"/>
      <c r="Z152" s="138"/>
      <c r="AA152" s="138"/>
      <c r="AB152" s="138"/>
      <c r="AC152" s="138"/>
      <c r="AD152" s="138"/>
      <c r="AE152" s="138"/>
      <c r="AF152" s="138"/>
      <c r="AG152" s="138"/>
      <c r="AH152" s="138"/>
      <c r="AI152" s="138"/>
      <c r="AJ152" s="138"/>
    </row>
    <row r="153" spans="1:36" s="31" customFormat="1">
      <c r="A153" s="85">
        <f>IF(F153&lt;&gt;"",1+MAX($A$2:A152),"")</f>
        <v>94</v>
      </c>
      <c r="B153" s="214"/>
      <c r="C153" s="88"/>
      <c r="D153" s="98" t="s">
        <v>70</v>
      </c>
      <c r="E153" s="60">
        <f>427*0.5</f>
        <v>213.5</v>
      </c>
      <c r="F153" s="55">
        <v>0.1</v>
      </c>
      <c r="G153" s="89">
        <f>E153*(1+F153)</f>
        <v>234.85</v>
      </c>
      <c r="H153" s="60" t="s">
        <v>36</v>
      </c>
      <c r="I153" s="104">
        <v>1.7999999999999999E-2</v>
      </c>
      <c r="J153" s="105">
        <f t="shared" si="112"/>
        <v>4.2272999999999996</v>
      </c>
      <c r="K153" s="106">
        <f>'LABOR SHEET'!$C$5</f>
        <v>45</v>
      </c>
      <c r="L153" s="107">
        <f t="shared" si="113"/>
        <v>0.81</v>
      </c>
      <c r="M153" s="107">
        <f t="shared" si="114"/>
        <v>190.2285</v>
      </c>
      <c r="N153" s="107">
        <v>3</v>
      </c>
      <c r="O153" s="107">
        <f>N153*G153</f>
        <v>704.55</v>
      </c>
      <c r="P153" s="107">
        <f>(I153*K153)+N153</f>
        <v>3.81</v>
      </c>
      <c r="Q153" s="131">
        <f>P153*G153</f>
        <v>894.77850000000001</v>
      </c>
      <c r="R153" s="138"/>
      <c r="S153" s="138"/>
      <c r="T153" s="138"/>
      <c r="U153" s="138"/>
      <c r="V153" s="138"/>
      <c r="W153" s="138"/>
      <c r="X153" s="138"/>
      <c r="Y153" s="138"/>
      <c r="Z153" s="138"/>
      <c r="AA153" s="138"/>
      <c r="AB153" s="138"/>
      <c r="AC153" s="138"/>
      <c r="AD153" s="138"/>
      <c r="AE153" s="138"/>
      <c r="AF153" s="138"/>
      <c r="AG153" s="138"/>
      <c r="AH153" s="138"/>
      <c r="AI153" s="138"/>
      <c r="AJ153" s="138"/>
    </row>
    <row r="154" spans="1:36" s="31" customFormat="1">
      <c r="A154" s="85"/>
      <c r="B154" s="214"/>
      <c r="C154" s="88"/>
      <c r="D154" s="98"/>
      <c r="E154" s="60"/>
      <c r="F154" s="55"/>
      <c r="G154" s="89"/>
      <c r="H154" s="60"/>
      <c r="I154" s="104"/>
      <c r="J154" s="105"/>
      <c r="K154" s="106"/>
      <c r="L154" s="107"/>
      <c r="M154" s="107"/>
      <c r="N154" s="107"/>
      <c r="O154" s="107"/>
      <c r="P154" s="107"/>
      <c r="Q154" s="131"/>
      <c r="R154" s="138"/>
      <c r="S154" s="138"/>
      <c r="T154" s="138"/>
      <c r="U154" s="138"/>
      <c r="V154" s="138"/>
      <c r="W154" s="138"/>
      <c r="X154" s="138"/>
      <c r="Y154" s="138"/>
      <c r="Z154" s="138"/>
      <c r="AA154" s="138"/>
      <c r="AB154" s="138"/>
      <c r="AC154" s="138"/>
      <c r="AD154" s="138"/>
      <c r="AE154" s="138"/>
      <c r="AF154" s="138"/>
      <c r="AG154" s="138"/>
      <c r="AH154" s="138"/>
      <c r="AI154" s="138"/>
      <c r="AJ154" s="138"/>
    </row>
    <row r="155" spans="1:36" s="31" customFormat="1">
      <c r="A155" s="85" t="str">
        <f>IF(F155&lt;&gt;"",1+MAX($A$2:A153),"")</f>
        <v/>
      </c>
      <c r="B155" s="214"/>
      <c r="C155" s="88"/>
      <c r="D155" s="97" t="s">
        <v>127</v>
      </c>
      <c r="E155" s="60"/>
      <c r="F155" s="90"/>
      <c r="G155" s="89"/>
      <c r="H155" s="60"/>
      <c r="I155" s="104"/>
      <c r="J155" s="105"/>
      <c r="K155" s="106"/>
      <c r="L155" s="107"/>
      <c r="M155" s="107"/>
      <c r="N155" s="107"/>
      <c r="O155" s="107"/>
      <c r="P155" s="107"/>
      <c r="Q155" s="131"/>
      <c r="R155" s="138"/>
      <c r="S155" s="138"/>
      <c r="T155" s="138"/>
      <c r="U155" s="138"/>
      <c r="V155" s="138"/>
      <c r="W155" s="138"/>
      <c r="X155" s="138"/>
      <c r="Y155" s="138"/>
      <c r="Z155" s="138"/>
      <c r="AA155" s="138"/>
      <c r="AB155" s="138"/>
      <c r="AC155" s="138"/>
      <c r="AD155" s="138"/>
      <c r="AE155" s="138"/>
      <c r="AF155" s="138"/>
      <c r="AG155" s="138"/>
      <c r="AH155" s="138"/>
      <c r="AI155" s="138"/>
      <c r="AJ155" s="138"/>
    </row>
    <row r="156" spans="1:36" s="31" customFormat="1">
      <c r="A156" s="85">
        <f>IF(F156&lt;&gt;"",1+MAX($A$2:A155),"")</f>
        <v>95</v>
      </c>
      <c r="B156" s="214"/>
      <c r="C156" s="88"/>
      <c r="D156" s="78" t="s">
        <v>128</v>
      </c>
      <c r="E156" s="60">
        <v>97</v>
      </c>
      <c r="F156" s="55">
        <v>0.1</v>
      </c>
      <c r="G156" s="89">
        <f>E156*(1+F156)</f>
        <v>106.7</v>
      </c>
      <c r="H156" s="60" t="s">
        <v>36</v>
      </c>
      <c r="I156" s="104">
        <v>4.8000000000000001E-2</v>
      </c>
      <c r="J156" s="105">
        <f t="shared" ref="J156:J158" si="115">+I156*G156</f>
        <v>5.1215999999999999</v>
      </c>
      <c r="K156" s="106">
        <f>'LABOR SHEET'!$C$5</f>
        <v>45</v>
      </c>
      <c r="L156" s="107">
        <f t="shared" ref="L156:L158" si="116">I156*K156</f>
        <v>2.16</v>
      </c>
      <c r="M156" s="107">
        <f t="shared" ref="M156:M158" si="117">K156*J156</f>
        <v>230.47200000000001</v>
      </c>
      <c r="N156" s="107">
        <v>4.1399999999999997</v>
      </c>
      <c r="O156" s="107">
        <f>N156*G156</f>
        <v>441.738</v>
      </c>
      <c r="P156" s="107">
        <f>(I156*K156)+N156</f>
        <v>6.3</v>
      </c>
      <c r="Q156" s="131">
        <f>P156*G156</f>
        <v>672.21</v>
      </c>
      <c r="R156" s="138"/>
      <c r="S156" s="138"/>
      <c r="T156" s="138"/>
      <c r="U156" s="138"/>
      <c r="V156" s="138"/>
      <c r="W156" s="138"/>
      <c r="X156" s="138"/>
      <c r="Y156" s="138"/>
      <c r="Z156" s="138"/>
      <c r="AA156" s="138"/>
      <c r="AB156" s="138"/>
      <c r="AC156" s="138"/>
      <c r="AD156" s="138"/>
      <c r="AE156" s="138"/>
      <c r="AF156" s="138"/>
      <c r="AG156" s="138"/>
      <c r="AH156" s="138"/>
      <c r="AI156" s="138"/>
      <c r="AJ156" s="138"/>
    </row>
    <row r="157" spans="1:36" s="31" customFormat="1">
      <c r="A157" s="85">
        <f>IF(F157&lt;&gt;"",1+MAX($A$2:A156),"")</f>
        <v>96</v>
      </c>
      <c r="B157" s="214"/>
      <c r="C157" s="88"/>
      <c r="D157" s="98" t="s">
        <v>75</v>
      </c>
      <c r="E157" s="60">
        <v>97</v>
      </c>
      <c r="F157" s="55">
        <v>0.1</v>
      </c>
      <c r="G157" s="89">
        <f>E157*(1+F157)</f>
        <v>106.7</v>
      </c>
      <c r="H157" s="60" t="s">
        <v>36</v>
      </c>
      <c r="I157" s="104">
        <v>7.0000000000000001E-3</v>
      </c>
      <c r="J157" s="105">
        <f t="shared" si="115"/>
        <v>0.74690000000000001</v>
      </c>
      <c r="K157" s="106">
        <f>'LABOR SHEET'!$C$5</f>
        <v>45</v>
      </c>
      <c r="L157" s="107">
        <f t="shared" si="116"/>
        <v>0.315</v>
      </c>
      <c r="M157" s="107">
        <f t="shared" si="117"/>
        <v>33.610500000000002</v>
      </c>
      <c r="N157" s="107">
        <v>0.4</v>
      </c>
      <c r="O157" s="107">
        <f>N157*G157</f>
        <v>42.68</v>
      </c>
      <c r="P157" s="107">
        <f>(I157*K157)+N157</f>
        <v>0.71499999999999997</v>
      </c>
      <c r="Q157" s="131">
        <f>P157*G157</f>
        <v>76.290499999999994</v>
      </c>
      <c r="R157" s="138"/>
      <c r="S157" s="138"/>
      <c r="T157" s="138"/>
      <c r="U157" s="138"/>
      <c r="V157" s="138"/>
      <c r="W157" s="138"/>
      <c r="X157" s="138"/>
      <c r="Y157" s="138"/>
      <c r="Z157" s="138"/>
      <c r="AA157" s="138"/>
      <c r="AB157" s="138"/>
      <c r="AC157" s="138"/>
      <c r="AD157" s="138"/>
      <c r="AE157" s="138"/>
      <c r="AF157" s="138"/>
      <c r="AG157" s="138"/>
      <c r="AH157" s="138"/>
      <c r="AI157" s="138"/>
      <c r="AJ157" s="138"/>
    </row>
    <row r="158" spans="1:36" s="31" customFormat="1">
      <c r="A158" s="85">
        <f>IF(F158&lt;&gt;"",1+MAX($A$2:A157),"")</f>
        <v>97</v>
      </c>
      <c r="B158" s="214"/>
      <c r="C158" s="88"/>
      <c r="D158" s="98" t="s">
        <v>70</v>
      </c>
      <c r="E158" s="62">
        <f>65*0.5</f>
        <v>32.5</v>
      </c>
      <c r="F158" s="55">
        <v>0.1</v>
      </c>
      <c r="G158" s="89">
        <f>E158*(1+F158)</f>
        <v>35.75</v>
      </c>
      <c r="H158" s="60" t="s">
        <v>36</v>
      </c>
      <c r="I158" s="104">
        <v>1.7999999999999999E-2</v>
      </c>
      <c r="J158" s="105">
        <f t="shared" si="115"/>
        <v>0.64349999999999996</v>
      </c>
      <c r="K158" s="106">
        <f>'LABOR SHEET'!$C$5</f>
        <v>45</v>
      </c>
      <c r="L158" s="107">
        <f t="shared" si="116"/>
        <v>0.81</v>
      </c>
      <c r="M158" s="107">
        <f t="shared" si="117"/>
        <v>28.9575</v>
      </c>
      <c r="N158" s="107">
        <v>3</v>
      </c>
      <c r="O158" s="107">
        <f>N158*G158</f>
        <v>107.25</v>
      </c>
      <c r="P158" s="107">
        <f>(I158*K158)+N158</f>
        <v>3.81</v>
      </c>
      <c r="Q158" s="131">
        <f>P158*G158</f>
        <v>136.20750000000001</v>
      </c>
      <c r="R158" s="138"/>
      <c r="S158" s="138"/>
      <c r="T158" s="138"/>
      <c r="U158" s="138"/>
      <c r="V158" s="138"/>
      <c r="W158" s="138"/>
      <c r="X158" s="138"/>
      <c r="Y158" s="138"/>
      <c r="Z158" s="138"/>
      <c r="AA158" s="138"/>
      <c r="AB158" s="138"/>
      <c r="AC158" s="138"/>
      <c r="AD158" s="138"/>
      <c r="AE158" s="138"/>
      <c r="AF158" s="138"/>
      <c r="AG158" s="138"/>
      <c r="AH158" s="138"/>
      <c r="AI158" s="138"/>
      <c r="AJ158" s="138"/>
    </row>
    <row r="159" spans="1:36" s="31" customFormat="1">
      <c r="A159" s="85"/>
      <c r="B159" s="214"/>
      <c r="C159" s="88"/>
      <c r="D159" s="98"/>
      <c r="E159" s="62"/>
      <c r="F159" s="55"/>
      <c r="G159" s="89"/>
      <c r="H159" s="60"/>
      <c r="I159" s="104"/>
      <c r="J159" s="105"/>
      <c r="K159" s="106"/>
      <c r="L159" s="107"/>
      <c r="M159" s="107"/>
      <c r="N159" s="107"/>
      <c r="O159" s="107"/>
      <c r="P159" s="107"/>
      <c r="Q159" s="131"/>
      <c r="R159" s="138"/>
      <c r="S159" s="138"/>
      <c r="T159" s="138"/>
      <c r="U159" s="138"/>
      <c r="V159" s="138"/>
      <c r="W159" s="138"/>
      <c r="X159" s="138"/>
      <c r="Y159" s="138"/>
      <c r="Z159" s="138"/>
      <c r="AA159" s="138"/>
      <c r="AB159" s="138"/>
      <c r="AC159" s="138"/>
      <c r="AD159" s="138"/>
      <c r="AE159" s="138"/>
      <c r="AF159" s="138"/>
      <c r="AG159" s="138"/>
      <c r="AH159" s="138"/>
      <c r="AI159" s="138"/>
      <c r="AJ159" s="138"/>
    </row>
    <row r="160" spans="1:36" s="31" customFormat="1">
      <c r="A160" s="85" t="str">
        <f>IF(F160&lt;&gt;"",1+MAX($A$2:A158),"")</f>
        <v/>
      </c>
      <c r="B160" s="214"/>
      <c r="C160" s="88"/>
      <c r="D160" s="97" t="s">
        <v>129</v>
      </c>
      <c r="E160" s="60"/>
      <c r="F160" s="90"/>
      <c r="G160" s="89"/>
      <c r="H160" s="60"/>
      <c r="I160" s="104"/>
      <c r="J160" s="105"/>
      <c r="K160" s="106"/>
      <c r="L160" s="107"/>
      <c r="M160" s="107"/>
      <c r="N160" s="107"/>
      <c r="O160" s="107"/>
      <c r="P160" s="107"/>
      <c r="Q160" s="131"/>
      <c r="R160" s="138"/>
      <c r="S160" s="138"/>
      <c r="T160" s="138"/>
      <c r="U160" s="138"/>
      <c r="V160" s="138"/>
      <c r="W160" s="138"/>
      <c r="X160" s="138"/>
      <c r="Y160" s="138"/>
      <c r="Z160" s="138"/>
      <c r="AA160" s="138"/>
      <c r="AB160" s="138"/>
      <c r="AC160" s="138"/>
      <c r="AD160" s="138"/>
      <c r="AE160" s="138"/>
      <c r="AF160" s="138"/>
      <c r="AG160" s="138"/>
      <c r="AH160" s="138"/>
      <c r="AI160" s="138"/>
      <c r="AJ160" s="138"/>
    </row>
    <row r="161" spans="1:36" s="31" customFormat="1">
      <c r="A161" s="85">
        <f>IF(F161&lt;&gt;"",1+MAX($A$2:A160),"")</f>
        <v>98</v>
      </c>
      <c r="B161" s="214"/>
      <c r="C161" s="88"/>
      <c r="D161" s="78" t="s">
        <v>130</v>
      </c>
      <c r="E161" s="60">
        <v>23</v>
      </c>
      <c r="F161" s="55">
        <v>0.1</v>
      </c>
      <c r="G161" s="89">
        <f>E161*(1+F161)</f>
        <v>25.3</v>
      </c>
      <c r="H161" s="60" t="s">
        <v>36</v>
      </c>
      <c r="I161" s="104">
        <v>4.2000000000000003E-2</v>
      </c>
      <c r="J161" s="105">
        <f t="shared" ref="J161:J164" si="118">+I161*G161</f>
        <v>1.0626</v>
      </c>
      <c r="K161" s="106">
        <f>'LABOR SHEET'!$C$5</f>
        <v>45</v>
      </c>
      <c r="L161" s="107">
        <f t="shared" ref="L161:L164" si="119">I161*K161</f>
        <v>1.89</v>
      </c>
      <c r="M161" s="107">
        <f t="shared" ref="M161:M164" si="120">K161*J161</f>
        <v>47.817</v>
      </c>
      <c r="N161" s="107">
        <v>3.98</v>
      </c>
      <c r="O161" s="107">
        <f>N161*G161</f>
        <v>100.694</v>
      </c>
      <c r="P161" s="107">
        <f>(I161*K161)+N161</f>
        <v>5.87</v>
      </c>
      <c r="Q161" s="131">
        <f>P161*G161</f>
        <v>148.511</v>
      </c>
      <c r="R161" s="138"/>
      <c r="S161" s="138"/>
      <c r="T161" s="138"/>
      <c r="U161" s="138"/>
      <c r="V161" s="138"/>
      <c r="W161" s="138"/>
      <c r="X161" s="138"/>
      <c r="Y161" s="138"/>
      <c r="Z161" s="138"/>
      <c r="AA161" s="138"/>
      <c r="AB161" s="138"/>
      <c r="AC161" s="138"/>
      <c r="AD161" s="138"/>
      <c r="AE161" s="138"/>
      <c r="AF161" s="138"/>
      <c r="AG161" s="138"/>
      <c r="AH161" s="138"/>
      <c r="AI161" s="138"/>
      <c r="AJ161" s="138"/>
    </row>
    <row r="162" spans="1:36" s="31" customFormat="1">
      <c r="A162" s="85">
        <f>IF(F162&lt;&gt;"",1+MAX($A$2:A161),"")</f>
        <v>99</v>
      </c>
      <c r="B162" s="214"/>
      <c r="C162" s="88"/>
      <c r="D162" s="141" t="s">
        <v>131</v>
      </c>
      <c r="E162" s="60">
        <f>23/1*2*0.668</f>
        <v>30.728000000000002</v>
      </c>
      <c r="F162" s="61">
        <v>0.05</v>
      </c>
      <c r="G162" s="89">
        <f>E162*(1+F162)</f>
        <v>32.264400000000002</v>
      </c>
      <c r="H162" s="60" t="s">
        <v>78</v>
      </c>
      <c r="I162" s="104">
        <v>1.0999999999999999E-2</v>
      </c>
      <c r="J162" s="105">
        <f t="shared" si="118"/>
        <v>0.35490840000000001</v>
      </c>
      <c r="K162" s="106">
        <f>'LABOR SHEET'!$C$5</f>
        <v>45</v>
      </c>
      <c r="L162" s="107">
        <f t="shared" si="119"/>
        <v>0.495</v>
      </c>
      <c r="M162" s="107">
        <f t="shared" si="120"/>
        <v>15.970878000000001</v>
      </c>
      <c r="N162" s="107">
        <v>0.9</v>
      </c>
      <c r="O162" s="107">
        <f>N162*G162</f>
        <v>29.037960000000002</v>
      </c>
      <c r="P162" s="107">
        <f>(I162*K162)+N162</f>
        <v>1.395</v>
      </c>
      <c r="Q162" s="131">
        <f>P162*G162</f>
        <v>45.008837999999997</v>
      </c>
      <c r="R162" s="138"/>
      <c r="S162" s="138"/>
      <c r="T162" s="138"/>
      <c r="U162" s="138"/>
      <c r="V162" s="138"/>
      <c r="W162" s="138"/>
      <c r="X162" s="138"/>
      <c r="Y162" s="138"/>
      <c r="Z162" s="138"/>
      <c r="AA162" s="138"/>
      <c r="AB162" s="138"/>
      <c r="AC162" s="138"/>
      <c r="AD162" s="138"/>
      <c r="AE162" s="138"/>
      <c r="AF162" s="138"/>
      <c r="AG162" s="138"/>
      <c r="AH162" s="138"/>
      <c r="AI162" s="138"/>
      <c r="AJ162" s="138"/>
    </row>
    <row r="163" spans="1:36" s="31" customFormat="1">
      <c r="A163" s="85">
        <f>IF(F163&lt;&gt;"",1+MAX($A$2:A162),"")</f>
        <v>100</v>
      </c>
      <c r="B163" s="214"/>
      <c r="C163" s="88"/>
      <c r="D163" s="98" t="s">
        <v>75</v>
      </c>
      <c r="E163" s="60">
        <v>23</v>
      </c>
      <c r="F163" s="55">
        <v>0.1</v>
      </c>
      <c r="G163" s="89">
        <f t="shared" ref="G163:G164" si="121">E163*(1+F163)</f>
        <v>25.3</v>
      </c>
      <c r="H163" s="60" t="s">
        <v>36</v>
      </c>
      <c r="I163" s="104">
        <v>7.0000000000000001E-3</v>
      </c>
      <c r="J163" s="105">
        <f t="shared" si="118"/>
        <v>0.17710000000000001</v>
      </c>
      <c r="K163" s="106">
        <f>'LABOR SHEET'!$C$5</f>
        <v>45</v>
      </c>
      <c r="L163" s="107">
        <f t="shared" si="119"/>
        <v>0.315</v>
      </c>
      <c r="M163" s="107">
        <f t="shared" si="120"/>
        <v>7.9695</v>
      </c>
      <c r="N163" s="107">
        <v>0.4</v>
      </c>
      <c r="O163" s="107">
        <f t="shared" ref="O163:O164" si="122">N163*G163</f>
        <v>10.119999999999999</v>
      </c>
      <c r="P163" s="107">
        <f t="shared" ref="P163:P164" si="123">(I163*K163)+N163</f>
        <v>0.71499999999999997</v>
      </c>
      <c r="Q163" s="131">
        <f t="shared" ref="Q163:Q164" si="124">P163*G163</f>
        <v>18.089500000000001</v>
      </c>
      <c r="R163" s="138"/>
      <c r="S163" s="138"/>
      <c r="T163" s="138"/>
      <c r="U163" s="138"/>
      <c r="V163" s="138"/>
      <c r="W163" s="138"/>
      <c r="X163" s="138"/>
      <c r="Y163" s="138"/>
      <c r="Z163" s="138"/>
      <c r="AA163" s="138"/>
      <c r="AB163" s="138"/>
      <c r="AC163" s="138"/>
      <c r="AD163" s="138"/>
      <c r="AE163" s="138"/>
      <c r="AF163" s="138"/>
      <c r="AG163" s="138"/>
      <c r="AH163" s="138"/>
      <c r="AI163" s="138"/>
      <c r="AJ163" s="138"/>
    </row>
    <row r="164" spans="1:36" s="31" customFormat="1">
      <c r="A164" s="85">
        <f>IF(F164&lt;&gt;"",1+MAX($A$2:A163),"")</f>
        <v>101</v>
      </c>
      <c r="B164" s="214"/>
      <c r="C164" s="88"/>
      <c r="D164" s="98" t="s">
        <v>70</v>
      </c>
      <c r="E164" s="62">
        <v>10</v>
      </c>
      <c r="F164" s="55">
        <v>0.1</v>
      </c>
      <c r="G164" s="89">
        <f t="shared" si="121"/>
        <v>11</v>
      </c>
      <c r="H164" s="60" t="s">
        <v>36</v>
      </c>
      <c r="I164" s="104">
        <v>1.7999999999999999E-2</v>
      </c>
      <c r="J164" s="105">
        <f t="shared" si="118"/>
        <v>0.19800000000000001</v>
      </c>
      <c r="K164" s="106">
        <f>'LABOR SHEET'!$C$5</f>
        <v>45</v>
      </c>
      <c r="L164" s="107">
        <f t="shared" si="119"/>
        <v>0.81</v>
      </c>
      <c r="M164" s="107">
        <f t="shared" si="120"/>
        <v>8.91</v>
      </c>
      <c r="N164" s="107">
        <v>3</v>
      </c>
      <c r="O164" s="107">
        <f t="shared" si="122"/>
        <v>33</v>
      </c>
      <c r="P164" s="107">
        <f t="shared" si="123"/>
        <v>3.81</v>
      </c>
      <c r="Q164" s="131">
        <f t="shared" si="124"/>
        <v>41.91</v>
      </c>
      <c r="R164" s="138"/>
      <c r="S164" s="138"/>
      <c r="T164" s="138"/>
      <c r="U164" s="138"/>
      <c r="V164" s="138"/>
      <c r="W164" s="138"/>
      <c r="X164" s="138"/>
      <c r="Y164" s="138"/>
      <c r="Z164" s="138"/>
      <c r="AA164" s="138"/>
      <c r="AB164" s="138"/>
      <c r="AC164" s="138"/>
      <c r="AD164" s="138"/>
      <c r="AE164" s="138"/>
      <c r="AF164" s="138"/>
      <c r="AG164" s="138"/>
      <c r="AH164" s="138"/>
      <c r="AI164" s="138"/>
      <c r="AJ164" s="138"/>
    </row>
    <row r="165" spans="1:36" s="31" customFormat="1">
      <c r="A165" s="85" t="str">
        <f>IF(F165&lt;&gt;"",1+MAX($A$2:A164),"")</f>
        <v/>
      </c>
      <c r="B165" s="214"/>
      <c r="C165" s="62"/>
      <c r="D165" s="87" t="s">
        <v>132</v>
      </c>
      <c r="E165" s="60"/>
      <c r="F165" s="60"/>
      <c r="G165" s="60"/>
      <c r="H165" s="60"/>
      <c r="I165" s="115"/>
      <c r="J165" s="116"/>
      <c r="K165" s="117"/>
      <c r="L165" s="107"/>
      <c r="M165" s="107"/>
      <c r="N165" s="107"/>
      <c r="O165" s="107"/>
      <c r="P165" s="107"/>
      <c r="Q165" s="137"/>
      <c r="R165" s="138"/>
      <c r="S165" s="138"/>
      <c r="T165" s="138"/>
      <c r="U165" s="138"/>
      <c r="V165" s="138"/>
      <c r="W165" s="138"/>
      <c r="X165" s="138"/>
      <c r="Y165" s="138"/>
      <c r="Z165" s="138"/>
      <c r="AA165" s="138"/>
      <c r="AB165" s="138"/>
      <c r="AC165" s="138"/>
      <c r="AD165" s="138"/>
      <c r="AE165" s="138"/>
      <c r="AF165" s="138"/>
      <c r="AG165" s="138"/>
      <c r="AH165" s="138"/>
      <c r="AI165" s="138"/>
      <c r="AJ165" s="138"/>
    </row>
    <row r="166" spans="1:36" s="31" customFormat="1">
      <c r="A166" s="85" t="str">
        <f>IF(F166&lt;&gt;"",1+MAX($A$2:A165),"")</f>
        <v/>
      </c>
      <c r="B166" s="214"/>
      <c r="C166" s="88"/>
      <c r="D166" s="97" t="s">
        <v>133</v>
      </c>
      <c r="E166" s="60"/>
      <c r="F166" s="90"/>
      <c r="G166" s="89"/>
      <c r="H166" s="60"/>
      <c r="I166" s="104"/>
      <c r="J166" s="105"/>
      <c r="K166" s="106"/>
      <c r="L166" s="107"/>
      <c r="M166" s="107"/>
      <c r="N166" s="107"/>
      <c r="O166" s="107"/>
      <c r="P166" s="107"/>
      <c r="Q166" s="131"/>
      <c r="R166" s="138"/>
      <c r="S166" s="138"/>
      <c r="T166" s="138"/>
      <c r="U166" s="138"/>
      <c r="V166" s="138"/>
      <c r="W166" s="138"/>
      <c r="X166" s="138"/>
      <c r="Y166" s="138"/>
      <c r="Z166" s="138"/>
      <c r="AA166" s="138"/>
      <c r="AB166" s="138"/>
      <c r="AC166" s="138"/>
      <c r="AD166" s="138"/>
      <c r="AE166" s="138"/>
      <c r="AF166" s="138"/>
      <c r="AG166" s="138"/>
      <c r="AH166" s="138"/>
      <c r="AI166" s="138"/>
      <c r="AJ166" s="138"/>
    </row>
    <row r="167" spans="1:36" s="31" customFormat="1">
      <c r="A167" s="85">
        <f>IF(F167&lt;&gt;"",1+MAX($A$2:A166),"")</f>
        <v>102</v>
      </c>
      <c r="B167" s="214"/>
      <c r="C167" s="88"/>
      <c r="D167" s="80" t="s">
        <v>134</v>
      </c>
      <c r="E167" s="60">
        <v>1759</v>
      </c>
      <c r="F167" s="61">
        <v>0.05</v>
      </c>
      <c r="G167" s="89">
        <f t="shared" ref="G167:G170" si="125">E167*(1+F167)</f>
        <v>1846.95</v>
      </c>
      <c r="H167" s="60" t="s">
        <v>38</v>
      </c>
      <c r="I167" s="104">
        <v>5.1999999999999998E-2</v>
      </c>
      <c r="J167" s="105">
        <f t="shared" ref="J167:J170" si="126">+I167*G167</f>
        <v>96.041399999999996</v>
      </c>
      <c r="K167" s="106">
        <f>'LABOR SHEET'!$C$3</f>
        <v>70</v>
      </c>
      <c r="L167" s="107">
        <f t="shared" ref="L167:L170" si="127">I167*K167</f>
        <v>3.64</v>
      </c>
      <c r="M167" s="107">
        <f t="shared" ref="M167:M170" si="128">K167*J167</f>
        <v>6722.8980000000001</v>
      </c>
      <c r="N167" s="107">
        <v>6.17</v>
      </c>
      <c r="O167" s="107">
        <f t="shared" ref="O167:O170" si="129">N167*G167</f>
        <v>11395.681500000001</v>
      </c>
      <c r="P167" s="107">
        <f t="shared" ref="P167:P170" si="130">(I167*K167)+N167</f>
        <v>9.81</v>
      </c>
      <c r="Q167" s="131">
        <f t="shared" ref="Q167:Q170" si="131">P167*G167</f>
        <v>18118.5795</v>
      </c>
      <c r="R167" s="138"/>
      <c r="S167" s="138"/>
      <c r="T167" s="138"/>
      <c r="U167" s="138"/>
      <c r="V167" s="138"/>
      <c r="W167" s="138"/>
      <c r="X167" s="138"/>
      <c r="Y167" s="138"/>
      <c r="Z167" s="138"/>
      <c r="AA167" s="138"/>
      <c r="AB167" s="138"/>
      <c r="AC167" s="138"/>
      <c r="AD167" s="138"/>
      <c r="AE167" s="138"/>
      <c r="AF167" s="138"/>
      <c r="AG167" s="138"/>
      <c r="AH167" s="138"/>
      <c r="AI167" s="138"/>
      <c r="AJ167" s="138"/>
    </row>
    <row r="168" spans="1:36" s="31" customFormat="1">
      <c r="A168" s="85">
        <f>IF(F168&lt;&gt;"",1+MAX($A$2:A167),"")</f>
        <v>103</v>
      </c>
      <c r="B168" s="214"/>
      <c r="C168" s="88"/>
      <c r="D168" s="80" t="s">
        <v>135</v>
      </c>
      <c r="E168" s="60">
        <v>52</v>
      </c>
      <c r="F168" s="61">
        <v>0.05</v>
      </c>
      <c r="G168" s="89">
        <f t="shared" si="125"/>
        <v>54.6</v>
      </c>
      <c r="H168" s="60" t="s">
        <v>38</v>
      </c>
      <c r="I168" s="104">
        <v>0.04</v>
      </c>
      <c r="J168" s="105">
        <f t="shared" si="126"/>
        <v>2.1840000000000002</v>
      </c>
      <c r="K168" s="106">
        <f>'LABOR SHEET'!$C$3</f>
        <v>70</v>
      </c>
      <c r="L168" s="107">
        <f t="shared" si="127"/>
        <v>2.8</v>
      </c>
      <c r="M168" s="107">
        <f t="shared" si="128"/>
        <v>152.88</v>
      </c>
      <c r="N168" s="107">
        <v>5.15</v>
      </c>
      <c r="O168" s="107">
        <f t="shared" si="129"/>
        <v>281.19</v>
      </c>
      <c r="P168" s="107">
        <f t="shared" si="130"/>
        <v>7.95</v>
      </c>
      <c r="Q168" s="131">
        <f t="shared" si="131"/>
        <v>434.07</v>
      </c>
      <c r="R168" s="138"/>
      <c r="S168" s="138"/>
      <c r="T168" s="138"/>
      <c r="U168" s="138"/>
      <c r="V168" s="138"/>
      <c r="W168" s="138"/>
      <c r="X168" s="138"/>
      <c r="Y168" s="138"/>
      <c r="Z168" s="138"/>
      <c r="AA168" s="138"/>
      <c r="AB168" s="138"/>
      <c r="AC168" s="138"/>
      <c r="AD168" s="138"/>
      <c r="AE168" s="138"/>
      <c r="AF168" s="138"/>
      <c r="AG168" s="138"/>
      <c r="AH168" s="138"/>
      <c r="AI168" s="138"/>
      <c r="AJ168" s="138"/>
    </row>
    <row r="169" spans="1:36" s="31" customFormat="1">
      <c r="A169" s="85">
        <f>IF(F169&lt;&gt;"",1+MAX($A$2:A168),"")</f>
        <v>104</v>
      </c>
      <c r="B169" s="214"/>
      <c r="C169" s="88"/>
      <c r="D169" s="80" t="s">
        <v>136</v>
      </c>
      <c r="E169" s="60">
        <v>9</v>
      </c>
      <c r="F169" s="61">
        <v>0.05</v>
      </c>
      <c r="G169" s="89">
        <f t="shared" si="125"/>
        <v>9.4499999999999993</v>
      </c>
      <c r="H169" s="60" t="s">
        <v>38</v>
      </c>
      <c r="I169" s="104">
        <v>2.7E-2</v>
      </c>
      <c r="J169" s="105">
        <f t="shared" si="126"/>
        <v>0.25514999999999999</v>
      </c>
      <c r="K169" s="106">
        <f>'LABOR SHEET'!$C$3</f>
        <v>70</v>
      </c>
      <c r="L169" s="107">
        <f t="shared" si="127"/>
        <v>1.89</v>
      </c>
      <c r="M169" s="107">
        <f t="shared" si="128"/>
        <v>17.860499999999998</v>
      </c>
      <c r="N169" s="107">
        <v>3.55</v>
      </c>
      <c r="O169" s="107">
        <f t="shared" si="129"/>
        <v>33.547499999999999</v>
      </c>
      <c r="P169" s="107">
        <f t="shared" si="130"/>
        <v>5.44</v>
      </c>
      <c r="Q169" s="131">
        <f t="shared" si="131"/>
        <v>51.408000000000001</v>
      </c>
      <c r="R169" s="138"/>
      <c r="S169" s="138"/>
      <c r="T169" s="138"/>
      <c r="U169" s="138"/>
      <c r="V169" s="138"/>
      <c r="W169" s="138"/>
      <c r="X169" s="138"/>
      <c r="Y169" s="138"/>
      <c r="Z169" s="138"/>
      <c r="AA169" s="138"/>
      <c r="AB169" s="138"/>
      <c r="AC169" s="138"/>
      <c r="AD169" s="138"/>
      <c r="AE169" s="138"/>
      <c r="AF169" s="138"/>
      <c r="AG169" s="138"/>
      <c r="AH169" s="138"/>
      <c r="AI169" s="138"/>
      <c r="AJ169" s="138"/>
    </row>
    <row r="170" spans="1:36" s="31" customFormat="1">
      <c r="A170" s="85">
        <f>IF(F170&lt;&gt;"",1+MAX($A$2:A169),"")</f>
        <v>105</v>
      </c>
      <c r="B170" s="214"/>
      <c r="C170" s="88"/>
      <c r="D170" s="78" t="s">
        <v>137</v>
      </c>
      <c r="E170" s="60">
        <v>1448</v>
      </c>
      <c r="F170" s="61">
        <v>0.05</v>
      </c>
      <c r="G170" s="89">
        <f t="shared" si="125"/>
        <v>1520.4</v>
      </c>
      <c r="H170" s="60" t="s">
        <v>38</v>
      </c>
      <c r="I170" s="104">
        <v>3.7999999999999999E-2</v>
      </c>
      <c r="J170" s="105">
        <f t="shared" si="126"/>
        <v>57.775199999999998</v>
      </c>
      <c r="K170" s="106">
        <f>'LABOR SHEET'!$C$3</f>
        <v>70</v>
      </c>
      <c r="L170" s="107">
        <f t="shared" si="127"/>
        <v>2.66</v>
      </c>
      <c r="M170" s="107">
        <f t="shared" si="128"/>
        <v>4044.2640000000001</v>
      </c>
      <c r="N170" s="107">
        <v>4.7699999999999996</v>
      </c>
      <c r="O170" s="107">
        <f t="shared" si="129"/>
        <v>7252.308</v>
      </c>
      <c r="P170" s="107">
        <f t="shared" si="130"/>
        <v>7.43</v>
      </c>
      <c r="Q170" s="131">
        <f t="shared" si="131"/>
        <v>11296.572</v>
      </c>
      <c r="R170" s="138"/>
      <c r="S170" s="138"/>
      <c r="T170" s="138"/>
      <c r="U170" s="138"/>
      <c r="V170" s="138"/>
      <c r="W170" s="138"/>
      <c r="X170" s="138"/>
      <c r="Y170" s="138"/>
      <c r="Z170" s="138"/>
      <c r="AA170" s="138"/>
      <c r="AB170" s="138"/>
      <c r="AC170" s="138"/>
      <c r="AD170" s="138"/>
      <c r="AE170" s="138"/>
      <c r="AF170" s="138"/>
      <c r="AG170" s="138"/>
      <c r="AH170" s="138"/>
      <c r="AI170" s="138"/>
      <c r="AJ170" s="138"/>
    </row>
    <row r="171" spans="1:36" s="31" customFormat="1">
      <c r="A171" s="85">
        <f>IF(F171&lt;&gt;"",1+MAX($A$2:A170),"")</f>
        <v>106</v>
      </c>
      <c r="B171" s="214"/>
      <c r="C171" s="88"/>
      <c r="D171" s="78" t="s">
        <v>138</v>
      </c>
      <c r="E171" s="60">
        <v>501</v>
      </c>
      <c r="F171" s="61">
        <v>0.05</v>
      </c>
      <c r="G171" s="89">
        <f t="shared" ref="G171:G174" si="132">E171*(1+F171)</f>
        <v>526.04999999999995</v>
      </c>
      <c r="H171" s="60" t="s">
        <v>38</v>
      </c>
      <c r="I171" s="104">
        <v>3.5000000000000003E-2</v>
      </c>
      <c r="J171" s="105">
        <f t="shared" ref="J171:J174" si="133">+I171*G171</f>
        <v>18.411750000000001</v>
      </c>
      <c r="K171" s="106">
        <f>'LABOR SHEET'!$C$3</f>
        <v>70</v>
      </c>
      <c r="L171" s="107">
        <f t="shared" ref="L171:L174" si="134">I171*K171</f>
        <v>2.4500000000000002</v>
      </c>
      <c r="M171" s="107">
        <f t="shared" ref="M171:M174" si="135">K171*J171</f>
        <v>1288.8225</v>
      </c>
      <c r="N171" s="107">
        <v>3.7</v>
      </c>
      <c r="O171" s="107">
        <f t="shared" ref="O171:O174" si="136">N171*G171</f>
        <v>1946.385</v>
      </c>
      <c r="P171" s="107">
        <f t="shared" ref="P171:P174" si="137">(I171*K171)+N171</f>
        <v>6.15</v>
      </c>
      <c r="Q171" s="131">
        <f t="shared" ref="Q171:Q174" si="138">P171*G171</f>
        <v>3235.2075</v>
      </c>
      <c r="R171" s="138"/>
      <c r="S171" s="138"/>
      <c r="T171" s="138"/>
      <c r="U171" s="138"/>
      <c r="V171" s="138"/>
      <c r="W171" s="138"/>
      <c r="X171" s="138"/>
      <c r="Y171" s="138"/>
      <c r="Z171" s="138"/>
      <c r="AA171" s="138"/>
      <c r="AB171" s="138"/>
      <c r="AC171" s="138"/>
      <c r="AD171" s="138"/>
      <c r="AE171" s="138"/>
      <c r="AF171" s="138"/>
      <c r="AG171" s="138"/>
      <c r="AH171" s="138"/>
      <c r="AI171" s="138"/>
      <c r="AJ171" s="138"/>
    </row>
    <row r="172" spans="1:36" s="31" customFormat="1">
      <c r="A172" s="85">
        <f>IF(F172&lt;&gt;"",1+MAX($A$2:A171),"")</f>
        <v>107</v>
      </c>
      <c r="B172" s="214"/>
      <c r="C172" s="88"/>
      <c r="D172" s="78" t="s">
        <v>139</v>
      </c>
      <c r="E172" s="60">
        <v>2305</v>
      </c>
      <c r="F172" s="61">
        <v>0.05</v>
      </c>
      <c r="G172" s="89">
        <f t="shared" si="132"/>
        <v>2420.25</v>
      </c>
      <c r="H172" s="60" t="s">
        <v>38</v>
      </c>
      <c r="I172" s="104">
        <v>2.5000000000000001E-2</v>
      </c>
      <c r="J172" s="105">
        <f t="shared" si="133"/>
        <v>60.506250000000001</v>
      </c>
      <c r="K172" s="106">
        <f>'LABOR SHEET'!$C$3</f>
        <v>70</v>
      </c>
      <c r="L172" s="107">
        <f t="shared" si="134"/>
        <v>1.75</v>
      </c>
      <c r="M172" s="107">
        <f t="shared" si="135"/>
        <v>4235.4375</v>
      </c>
      <c r="N172" s="107">
        <v>3.1</v>
      </c>
      <c r="O172" s="107">
        <f t="shared" si="136"/>
        <v>7502.7749999999996</v>
      </c>
      <c r="P172" s="107">
        <f t="shared" si="137"/>
        <v>4.8499999999999996</v>
      </c>
      <c r="Q172" s="131">
        <f t="shared" si="138"/>
        <v>11738.2125</v>
      </c>
      <c r="R172" s="138"/>
      <c r="S172" s="138"/>
      <c r="T172" s="138"/>
      <c r="U172" s="138"/>
      <c r="V172" s="138"/>
      <c r="W172" s="138"/>
      <c r="X172" s="138"/>
      <c r="Y172" s="138"/>
      <c r="Z172" s="138"/>
      <c r="AA172" s="138"/>
      <c r="AB172" s="138"/>
      <c r="AC172" s="138"/>
      <c r="AD172" s="138"/>
      <c r="AE172" s="138"/>
      <c r="AF172" s="138"/>
      <c r="AG172" s="138"/>
      <c r="AH172" s="138"/>
      <c r="AI172" s="138"/>
      <c r="AJ172" s="138"/>
    </row>
    <row r="173" spans="1:36" s="31" customFormat="1">
      <c r="A173" s="85">
        <f>IF(F173&lt;&gt;"",1+MAX($A$2:A172),"")</f>
        <v>108</v>
      </c>
      <c r="B173" s="214"/>
      <c r="C173" s="88"/>
      <c r="D173" s="78" t="s">
        <v>140</v>
      </c>
      <c r="E173" s="60">
        <v>195</v>
      </c>
      <c r="F173" s="61">
        <v>0.05</v>
      </c>
      <c r="G173" s="89">
        <f t="shared" si="132"/>
        <v>204.75</v>
      </c>
      <c r="H173" s="60" t="s">
        <v>38</v>
      </c>
      <c r="I173" s="104">
        <v>0.27100000000000002</v>
      </c>
      <c r="J173" s="105">
        <f t="shared" si="133"/>
        <v>55.487250000000003</v>
      </c>
      <c r="K173" s="106">
        <f>'LABOR SHEET'!$C$3</f>
        <v>70</v>
      </c>
      <c r="L173" s="107">
        <f t="shared" si="134"/>
        <v>18.97</v>
      </c>
      <c r="M173" s="107">
        <f t="shared" si="135"/>
        <v>3884.1075000000001</v>
      </c>
      <c r="N173" s="107">
        <v>5</v>
      </c>
      <c r="O173" s="107">
        <f t="shared" si="136"/>
        <v>1023.75</v>
      </c>
      <c r="P173" s="107">
        <f t="shared" si="137"/>
        <v>23.97</v>
      </c>
      <c r="Q173" s="131">
        <f t="shared" si="138"/>
        <v>4907.8575000000001</v>
      </c>
      <c r="R173" s="138"/>
      <c r="S173" s="138"/>
      <c r="T173" s="138"/>
      <c r="U173" s="138"/>
      <c r="V173" s="138"/>
      <c r="W173" s="138"/>
      <c r="X173" s="138"/>
      <c r="Y173" s="138"/>
      <c r="Z173" s="138"/>
      <c r="AA173" s="138"/>
      <c r="AB173" s="138"/>
      <c r="AC173" s="138"/>
      <c r="AD173" s="138"/>
      <c r="AE173" s="138"/>
      <c r="AF173" s="138"/>
      <c r="AG173" s="138"/>
      <c r="AH173" s="138"/>
      <c r="AI173" s="138"/>
      <c r="AJ173" s="138"/>
    </row>
    <row r="174" spans="1:36" s="31" customFormat="1">
      <c r="A174" s="85">
        <f>IF(F174&lt;&gt;"",1+MAX($A$2:A173),"")</f>
        <v>109</v>
      </c>
      <c r="B174" s="214"/>
      <c r="C174" s="88"/>
      <c r="D174" s="78" t="s">
        <v>141</v>
      </c>
      <c r="E174" s="60">
        <v>225</v>
      </c>
      <c r="F174" s="61">
        <v>0.05</v>
      </c>
      <c r="G174" s="89">
        <f t="shared" si="132"/>
        <v>236.25</v>
      </c>
      <c r="H174" s="60" t="s">
        <v>38</v>
      </c>
      <c r="I174" s="104">
        <v>0.33300000000000002</v>
      </c>
      <c r="J174" s="105">
        <f t="shared" si="133"/>
        <v>78.671250000000001</v>
      </c>
      <c r="K174" s="106">
        <f>'LABOR SHEET'!$C$3</f>
        <v>70</v>
      </c>
      <c r="L174" s="107">
        <f t="shared" si="134"/>
        <v>23.31</v>
      </c>
      <c r="M174" s="107">
        <f t="shared" si="135"/>
        <v>5506.9875000000002</v>
      </c>
      <c r="N174" s="107">
        <v>10.45</v>
      </c>
      <c r="O174" s="107">
        <f t="shared" si="136"/>
        <v>2468.8125</v>
      </c>
      <c r="P174" s="107">
        <f t="shared" si="137"/>
        <v>33.76</v>
      </c>
      <c r="Q174" s="131">
        <f t="shared" si="138"/>
        <v>7975.8</v>
      </c>
      <c r="R174" s="138"/>
      <c r="S174" s="138"/>
      <c r="T174" s="138"/>
      <c r="U174" s="138"/>
      <c r="V174" s="138"/>
      <c r="W174" s="138"/>
      <c r="X174" s="138"/>
      <c r="Y174" s="138"/>
      <c r="Z174" s="138"/>
      <c r="AA174" s="138"/>
      <c r="AB174" s="138"/>
      <c r="AC174" s="138"/>
      <c r="AD174" s="138"/>
      <c r="AE174" s="138"/>
      <c r="AF174" s="138"/>
      <c r="AG174" s="138"/>
      <c r="AH174" s="138"/>
      <c r="AI174" s="138"/>
      <c r="AJ174" s="138"/>
    </row>
    <row r="175" spans="1:36" s="31" customFormat="1">
      <c r="A175" s="85"/>
      <c r="B175" s="214"/>
      <c r="C175" s="88"/>
      <c r="D175" s="78"/>
      <c r="E175" s="60"/>
      <c r="F175" s="61"/>
      <c r="G175" s="89"/>
      <c r="H175" s="60"/>
      <c r="I175" s="104"/>
      <c r="J175" s="105"/>
      <c r="K175" s="106"/>
      <c r="L175" s="107"/>
      <c r="M175" s="107"/>
      <c r="N175" s="107"/>
      <c r="O175" s="107"/>
      <c r="P175" s="107"/>
      <c r="Q175" s="131"/>
      <c r="R175" s="138"/>
      <c r="S175" s="138"/>
      <c r="T175" s="138"/>
      <c r="U175" s="138"/>
      <c r="V175" s="138"/>
      <c r="W175" s="138"/>
      <c r="X175" s="138"/>
      <c r="Y175" s="138"/>
      <c r="Z175" s="138"/>
      <c r="AA175" s="138"/>
      <c r="AB175" s="138"/>
      <c r="AC175" s="138"/>
      <c r="AD175" s="138"/>
      <c r="AE175" s="138"/>
      <c r="AF175" s="138"/>
      <c r="AG175" s="138"/>
      <c r="AH175" s="138"/>
      <c r="AI175" s="138"/>
      <c r="AJ175" s="138"/>
    </row>
    <row r="176" spans="1:36" s="31" customFormat="1">
      <c r="A176" s="85" t="str">
        <f>IF(F176&lt;&gt;"",1+MAX($A$2:A174),"")</f>
        <v/>
      </c>
      <c r="B176" s="214"/>
      <c r="C176" s="88"/>
      <c r="D176" s="97" t="s">
        <v>142</v>
      </c>
      <c r="E176" s="60"/>
      <c r="F176" s="90"/>
      <c r="G176" s="89"/>
      <c r="H176" s="60"/>
      <c r="I176" s="104"/>
      <c r="J176" s="105"/>
      <c r="K176" s="106"/>
      <c r="L176" s="107"/>
      <c r="M176" s="107"/>
      <c r="N176" s="107"/>
      <c r="O176" s="107"/>
      <c r="P176" s="107"/>
      <c r="Q176" s="131"/>
      <c r="R176" s="138"/>
      <c r="S176" s="138"/>
      <c r="T176" s="138"/>
      <c r="U176" s="138"/>
      <c r="V176" s="138"/>
      <c r="W176" s="138"/>
      <c r="X176" s="138"/>
      <c r="Y176" s="138"/>
      <c r="Z176" s="138"/>
      <c r="AA176" s="138"/>
      <c r="AB176" s="138"/>
      <c r="AC176" s="138"/>
      <c r="AD176" s="138"/>
      <c r="AE176" s="138"/>
      <c r="AF176" s="138"/>
      <c r="AG176" s="138"/>
      <c r="AH176" s="138"/>
      <c r="AI176" s="138"/>
      <c r="AJ176" s="138"/>
    </row>
    <row r="177" spans="1:36" s="31" customFormat="1">
      <c r="A177" s="85">
        <f>IF(F177&lt;&gt;"",1+MAX($A$2:A176),"")</f>
        <v>110</v>
      </c>
      <c r="B177" s="214"/>
      <c r="C177" s="88"/>
      <c r="D177" s="80" t="s">
        <v>111</v>
      </c>
      <c r="E177" s="62">
        <f>6074*0.5*0.5/27</f>
        <v>56.240740740740698</v>
      </c>
      <c r="F177" s="55">
        <v>0</v>
      </c>
      <c r="G177" s="89">
        <f>E177*(1+F177)</f>
        <v>56.240740740740698</v>
      </c>
      <c r="H177" s="60" t="s">
        <v>52</v>
      </c>
      <c r="I177" s="104">
        <v>0.22</v>
      </c>
      <c r="J177" s="105">
        <f>+I177*G177</f>
        <v>12.372962962962999</v>
      </c>
      <c r="K177" s="106">
        <f>'LABOR SHEET'!$C$3</f>
        <v>70</v>
      </c>
      <c r="L177" s="107">
        <f>I177*K177</f>
        <v>15.4</v>
      </c>
      <c r="M177" s="107">
        <f>K177*J177</f>
        <v>866.10740740740698</v>
      </c>
      <c r="N177" s="107">
        <v>5</v>
      </c>
      <c r="O177" s="107">
        <f>N177*G177</f>
        <v>281.20370370370301</v>
      </c>
      <c r="P177" s="107">
        <f>(I177*K177)+N177</f>
        <v>20.399999999999999</v>
      </c>
      <c r="Q177" s="131">
        <f>P177*G177</f>
        <v>1147.31111111111</v>
      </c>
      <c r="R177" s="138"/>
      <c r="S177" s="138"/>
      <c r="T177" s="138"/>
      <c r="U177" s="138"/>
      <c r="V177" s="138"/>
      <c r="W177" s="138"/>
      <c r="X177" s="138"/>
      <c r="Y177" s="138"/>
      <c r="Z177" s="138"/>
      <c r="AA177" s="138"/>
      <c r="AB177" s="138"/>
      <c r="AC177" s="138"/>
      <c r="AD177" s="138"/>
      <c r="AE177" s="138"/>
      <c r="AF177" s="138"/>
      <c r="AG177" s="138"/>
      <c r="AH177" s="138"/>
      <c r="AI177" s="138"/>
      <c r="AJ177" s="138"/>
    </row>
    <row r="178" spans="1:36" s="31" customFormat="1">
      <c r="A178" s="85">
        <f>IF(F178&lt;&gt;"",1+MAX($A$2:A177),"")</f>
        <v>111</v>
      </c>
      <c r="B178" s="214"/>
      <c r="C178" s="88"/>
      <c r="D178" s="80" t="s">
        <v>118</v>
      </c>
      <c r="E178" s="60">
        <v>50</v>
      </c>
      <c r="F178" s="55">
        <v>0</v>
      </c>
      <c r="G178" s="89">
        <f>E178*(1+F178)</f>
        <v>50</v>
      </c>
      <c r="H178" s="60" t="s">
        <v>52</v>
      </c>
      <c r="I178" s="104">
        <v>0.2</v>
      </c>
      <c r="J178" s="105">
        <f>+I178*G178</f>
        <v>10</v>
      </c>
      <c r="K178" s="106">
        <f>'LABOR SHEET'!$C$3</f>
        <v>70</v>
      </c>
      <c r="L178" s="107">
        <f>I178*K178</f>
        <v>14</v>
      </c>
      <c r="M178" s="107">
        <f>K178*J178</f>
        <v>700</v>
      </c>
      <c r="N178" s="107">
        <v>5</v>
      </c>
      <c r="O178" s="107">
        <f>N178*G178</f>
        <v>250</v>
      </c>
      <c r="P178" s="107">
        <f>(I178*K178)+N178</f>
        <v>19</v>
      </c>
      <c r="Q178" s="131">
        <f>P178*G178</f>
        <v>950</v>
      </c>
      <c r="R178" s="138"/>
      <c r="S178" s="138"/>
      <c r="T178" s="138"/>
      <c r="U178" s="138"/>
      <c r="V178" s="138"/>
      <c r="W178" s="138"/>
      <c r="X178" s="138"/>
      <c r="Y178" s="138"/>
      <c r="Z178" s="138"/>
      <c r="AA178" s="138"/>
      <c r="AB178" s="138"/>
      <c r="AC178" s="138"/>
      <c r="AD178" s="138"/>
      <c r="AE178" s="138"/>
      <c r="AF178" s="138"/>
      <c r="AG178" s="138"/>
      <c r="AH178" s="138"/>
      <c r="AI178" s="138"/>
      <c r="AJ178" s="138"/>
    </row>
    <row r="179" spans="1:36" s="31" customFormat="1">
      <c r="A179" s="85"/>
      <c r="B179" s="214"/>
      <c r="C179" s="88"/>
      <c r="D179" s="80"/>
      <c r="E179" s="60"/>
      <c r="F179" s="55"/>
      <c r="G179" s="89"/>
      <c r="H179" s="60"/>
      <c r="I179" s="104"/>
      <c r="J179" s="105"/>
      <c r="K179" s="106"/>
      <c r="L179" s="107"/>
      <c r="M179" s="107"/>
      <c r="N179" s="107"/>
      <c r="O179" s="107"/>
      <c r="P179" s="107"/>
      <c r="Q179" s="131"/>
      <c r="R179" s="138"/>
      <c r="S179" s="138"/>
      <c r="T179" s="138"/>
      <c r="U179" s="138"/>
      <c r="V179" s="138"/>
      <c r="W179" s="138"/>
      <c r="X179" s="138"/>
      <c r="Y179" s="138"/>
      <c r="Z179" s="138"/>
      <c r="AA179" s="138"/>
      <c r="AB179" s="138"/>
      <c r="AC179" s="138"/>
      <c r="AD179" s="138"/>
      <c r="AE179" s="138"/>
      <c r="AF179" s="138"/>
      <c r="AG179" s="138"/>
      <c r="AH179" s="138"/>
      <c r="AI179" s="138"/>
      <c r="AJ179" s="138"/>
    </row>
    <row r="180" spans="1:36" s="31" customFormat="1">
      <c r="A180" s="85" t="str">
        <f>IF(F180&lt;&gt;"",1+MAX($A$2:A178),"")</f>
        <v/>
      </c>
      <c r="B180" s="214"/>
      <c r="C180" s="88"/>
      <c r="D180" s="97" t="s">
        <v>143</v>
      </c>
      <c r="E180" s="60"/>
      <c r="F180" s="90"/>
      <c r="G180" s="89"/>
      <c r="H180" s="60"/>
      <c r="I180" s="104"/>
      <c r="J180" s="105"/>
      <c r="K180" s="106">
        <f>'LABOR SHEET'!$C$3</f>
        <v>70</v>
      </c>
      <c r="L180" s="107"/>
      <c r="M180" s="107"/>
      <c r="N180" s="107"/>
      <c r="O180" s="107"/>
      <c r="P180" s="107"/>
      <c r="Q180" s="131"/>
      <c r="R180" s="138"/>
      <c r="S180" s="138"/>
      <c r="T180" s="138"/>
      <c r="U180" s="138"/>
      <c r="V180" s="138"/>
      <c r="W180" s="138"/>
      <c r="X180" s="138"/>
      <c r="Y180" s="138"/>
      <c r="Z180" s="138"/>
      <c r="AA180" s="138"/>
      <c r="AB180" s="138"/>
      <c r="AC180" s="138"/>
      <c r="AD180" s="138"/>
      <c r="AE180" s="138"/>
      <c r="AF180" s="138"/>
      <c r="AG180" s="138"/>
      <c r="AH180" s="138"/>
      <c r="AI180" s="138"/>
      <c r="AJ180" s="138"/>
    </row>
    <row r="181" spans="1:36" s="31" customFormat="1" ht="78">
      <c r="A181" s="85">
        <f>IF(F181&lt;&gt;"",1+MAX($A$2:A180),"")</f>
        <v>112</v>
      </c>
      <c r="B181" s="214"/>
      <c r="C181" s="88"/>
      <c r="D181" s="80" t="s">
        <v>144</v>
      </c>
      <c r="E181" s="60">
        <v>3147</v>
      </c>
      <c r="F181" s="55">
        <v>0.1</v>
      </c>
      <c r="G181" s="89">
        <f>E181*(1+F181)</f>
        <v>3461.7</v>
      </c>
      <c r="H181" s="60" t="s">
        <v>36</v>
      </c>
      <c r="I181" s="104">
        <v>6.0000000000000001E-3</v>
      </c>
      <c r="J181" s="105">
        <f>+I181*G181</f>
        <v>20.770199999999999</v>
      </c>
      <c r="K181" s="106">
        <f>'LABOR SHEET'!$C$3</f>
        <v>70</v>
      </c>
      <c r="L181" s="107">
        <f>I181*K181</f>
        <v>0.42</v>
      </c>
      <c r="M181" s="107">
        <f>K181*J181</f>
        <v>1453.914</v>
      </c>
      <c r="N181" s="107">
        <v>0.71</v>
      </c>
      <c r="O181" s="107">
        <f>N181*G181</f>
        <v>2457.8069999999998</v>
      </c>
      <c r="P181" s="107">
        <f>(I181*K181)+N181</f>
        <v>1.1299999999999999</v>
      </c>
      <c r="Q181" s="131">
        <f>P181*G181</f>
        <v>3911.721</v>
      </c>
      <c r="R181" s="138"/>
      <c r="S181" s="138"/>
      <c r="T181" s="138"/>
      <c r="U181" s="138"/>
      <c r="V181" s="138"/>
      <c r="W181" s="138"/>
      <c r="X181" s="138"/>
      <c r="Y181" s="138"/>
      <c r="Z181" s="138"/>
      <c r="AA181" s="138"/>
      <c r="AB181" s="138"/>
      <c r="AC181" s="138"/>
      <c r="AD181" s="138"/>
      <c r="AE181" s="138"/>
      <c r="AF181" s="138"/>
      <c r="AG181" s="138"/>
      <c r="AH181" s="138"/>
      <c r="AI181" s="138"/>
      <c r="AJ181" s="138"/>
    </row>
    <row r="182" spans="1:36" s="31" customFormat="1">
      <c r="A182" s="85">
        <f>IF(F182&lt;&gt;"",1+MAX($A$2:A181),"")</f>
        <v>113</v>
      </c>
      <c r="B182" s="214"/>
      <c r="C182" s="88"/>
      <c r="D182" s="78" t="s">
        <v>145</v>
      </c>
      <c r="E182" s="60">
        <v>13287</v>
      </c>
      <c r="F182" s="55">
        <v>0.1</v>
      </c>
      <c r="G182" s="89">
        <f>E182*(1+F182)</f>
        <v>14615.7</v>
      </c>
      <c r="H182" s="60" t="s">
        <v>36</v>
      </c>
      <c r="I182" s="104">
        <v>8.0000000000000002E-3</v>
      </c>
      <c r="J182" s="105">
        <f>+I182*G182</f>
        <v>116.9256</v>
      </c>
      <c r="K182" s="106">
        <f>'LABOR SHEET'!$C$3</f>
        <v>70</v>
      </c>
      <c r="L182" s="107">
        <f>I182*K182</f>
        <v>0.56000000000000005</v>
      </c>
      <c r="M182" s="107">
        <f>K182*J182</f>
        <v>8184.7920000000004</v>
      </c>
      <c r="N182" s="107">
        <v>0.85</v>
      </c>
      <c r="O182" s="107">
        <f>N182*G182</f>
        <v>12423.344999999999</v>
      </c>
      <c r="P182" s="107">
        <f>(I182*K182)+N182</f>
        <v>1.41</v>
      </c>
      <c r="Q182" s="131">
        <f>P182*G182</f>
        <v>20608.136999999999</v>
      </c>
      <c r="R182" s="138"/>
      <c r="S182" s="138"/>
      <c r="T182" s="138"/>
      <c r="U182" s="138"/>
      <c r="V182" s="138"/>
      <c r="W182" s="138"/>
      <c r="X182" s="138"/>
      <c r="Y182" s="138"/>
      <c r="Z182" s="138"/>
      <c r="AA182" s="138"/>
      <c r="AB182" s="138"/>
      <c r="AC182" s="138"/>
      <c r="AD182" s="138"/>
      <c r="AE182" s="138"/>
      <c r="AF182" s="138"/>
      <c r="AG182" s="138"/>
      <c r="AH182" s="138"/>
      <c r="AI182" s="138"/>
      <c r="AJ182" s="138"/>
    </row>
    <row r="183" spans="1:36" s="31" customFormat="1">
      <c r="A183" s="85"/>
      <c r="B183" s="214"/>
      <c r="C183" s="88"/>
      <c r="D183" s="78"/>
      <c r="E183" s="60"/>
      <c r="F183" s="55"/>
      <c r="G183" s="89"/>
      <c r="H183" s="60"/>
      <c r="I183" s="104"/>
      <c r="J183" s="105"/>
      <c r="K183" s="106"/>
      <c r="L183" s="107"/>
      <c r="M183" s="107"/>
      <c r="N183" s="107"/>
      <c r="O183" s="107"/>
      <c r="P183" s="107"/>
      <c r="Q183" s="131"/>
      <c r="R183" s="138"/>
      <c r="S183" s="138"/>
      <c r="T183" s="138"/>
      <c r="U183" s="138"/>
      <c r="V183" s="138"/>
      <c r="W183" s="138"/>
      <c r="X183" s="138"/>
      <c r="Y183" s="138"/>
      <c r="Z183" s="138"/>
      <c r="AA183" s="138"/>
      <c r="AB183" s="138"/>
      <c r="AC183" s="138"/>
      <c r="AD183" s="138"/>
      <c r="AE183" s="138"/>
      <c r="AF183" s="138"/>
      <c r="AG183" s="138"/>
      <c r="AH183" s="138"/>
      <c r="AI183" s="138"/>
      <c r="AJ183" s="138"/>
    </row>
    <row r="184" spans="1:36" s="31" customFormat="1">
      <c r="A184" s="85" t="str">
        <f>IF(F184&lt;&gt;"",1+MAX($A$2:A182),"")</f>
        <v/>
      </c>
      <c r="B184" s="214"/>
      <c r="C184" s="88"/>
      <c r="D184" s="97" t="s">
        <v>146</v>
      </c>
      <c r="E184" s="60"/>
      <c r="F184" s="90"/>
      <c r="G184" s="89"/>
      <c r="H184" s="60"/>
      <c r="I184" s="104"/>
      <c r="J184" s="105"/>
      <c r="K184" s="106"/>
      <c r="L184" s="107"/>
      <c r="M184" s="107"/>
      <c r="N184" s="107"/>
      <c r="O184" s="107"/>
      <c r="P184" s="107"/>
      <c r="Q184" s="131"/>
      <c r="R184" s="138"/>
      <c r="S184" s="138"/>
      <c r="T184" s="138"/>
      <c r="U184" s="138"/>
      <c r="V184" s="138"/>
      <c r="W184" s="138"/>
      <c r="X184" s="138"/>
      <c r="Y184" s="138"/>
      <c r="Z184" s="138"/>
      <c r="AA184" s="138"/>
      <c r="AB184" s="138"/>
      <c r="AC184" s="138"/>
      <c r="AD184" s="138"/>
      <c r="AE184" s="138"/>
      <c r="AF184" s="138"/>
      <c r="AG184" s="138"/>
      <c r="AH184" s="138"/>
      <c r="AI184" s="138"/>
      <c r="AJ184" s="138"/>
    </row>
    <row r="185" spans="1:36" s="31" customFormat="1" ht="46.8">
      <c r="A185" s="85">
        <f>IF(F185&lt;&gt;"",1+MAX($A$2:A184),"")</f>
        <v>114</v>
      </c>
      <c r="B185" s="214"/>
      <c r="C185" s="88"/>
      <c r="D185" s="80" t="s">
        <v>147</v>
      </c>
      <c r="E185" s="60">
        <v>4</v>
      </c>
      <c r="F185" s="90">
        <v>0</v>
      </c>
      <c r="G185" s="89">
        <f t="shared" ref="G185:G188" si="139">E185*(1+F185)</f>
        <v>4</v>
      </c>
      <c r="H185" s="60" t="s">
        <v>45</v>
      </c>
      <c r="I185" s="104">
        <v>0.48</v>
      </c>
      <c r="J185" s="105">
        <f t="shared" ref="J185:J188" si="140">+I185*G185</f>
        <v>1.92</v>
      </c>
      <c r="K185" s="106">
        <f>'LABOR SHEET'!$C$3</f>
        <v>70</v>
      </c>
      <c r="L185" s="107">
        <f t="shared" ref="L185:L188" si="141">I185*K185</f>
        <v>33.6</v>
      </c>
      <c r="M185" s="107">
        <f t="shared" ref="M185:M188" si="142">K185*J185</f>
        <v>134.4</v>
      </c>
      <c r="N185" s="107">
        <v>42</v>
      </c>
      <c r="O185" s="107">
        <f t="shared" ref="O185:O188" si="143">N185*G185</f>
        <v>168</v>
      </c>
      <c r="P185" s="107">
        <f t="shared" ref="P185:P188" si="144">(I185*K185)+N185</f>
        <v>75.599999999999994</v>
      </c>
      <c r="Q185" s="131">
        <f t="shared" ref="Q185:Q188" si="145">P185*G185</f>
        <v>302.39999999999998</v>
      </c>
      <c r="R185" s="138"/>
      <c r="S185" s="138"/>
      <c r="T185" s="138"/>
      <c r="U185" s="138"/>
      <c r="V185" s="138"/>
      <c r="W185" s="138"/>
      <c r="X185" s="138"/>
      <c r="Y185" s="138"/>
      <c r="Z185" s="138"/>
      <c r="AA185" s="138"/>
      <c r="AB185" s="138"/>
      <c r="AC185" s="138"/>
      <c r="AD185" s="138"/>
      <c r="AE185" s="138"/>
      <c r="AF185" s="138"/>
      <c r="AG185" s="138"/>
      <c r="AH185" s="138"/>
      <c r="AI185" s="138"/>
      <c r="AJ185" s="138"/>
    </row>
    <row r="186" spans="1:36" s="31" customFormat="1" ht="62.4">
      <c r="A186" s="85">
        <f>IF(F186&lt;&gt;"",1+MAX($A$2:A185),"")</f>
        <v>115</v>
      </c>
      <c r="B186" s="214"/>
      <c r="C186" s="142"/>
      <c r="D186" s="80" t="s">
        <v>148</v>
      </c>
      <c r="E186" s="60">
        <v>4</v>
      </c>
      <c r="F186" s="90">
        <v>0</v>
      </c>
      <c r="G186" s="89">
        <f t="shared" si="139"/>
        <v>4</v>
      </c>
      <c r="H186" s="60" t="s">
        <v>45</v>
      </c>
      <c r="I186" s="104">
        <v>0.55000000000000004</v>
      </c>
      <c r="J186" s="105">
        <f t="shared" si="140"/>
        <v>2.2000000000000002</v>
      </c>
      <c r="K186" s="106">
        <f>'LABOR SHEET'!$C$3</f>
        <v>70</v>
      </c>
      <c r="L186" s="107">
        <f t="shared" si="141"/>
        <v>38.5</v>
      </c>
      <c r="M186" s="107">
        <f t="shared" si="142"/>
        <v>154</v>
      </c>
      <c r="N186" s="107">
        <v>58.5</v>
      </c>
      <c r="O186" s="107">
        <f t="shared" si="143"/>
        <v>234</v>
      </c>
      <c r="P186" s="107">
        <f t="shared" si="144"/>
        <v>97</v>
      </c>
      <c r="Q186" s="131">
        <f t="shared" si="145"/>
        <v>388</v>
      </c>
      <c r="R186" s="138"/>
      <c r="S186" s="138"/>
      <c r="T186" s="138"/>
      <c r="U186" s="138"/>
      <c r="V186" s="138"/>
      <c r="W186" s="138"/>
      <c r="X186" s="138"/>
      <c r="Y186" s="138"/>
      <c r="Z186" s="138"/>
      <c r="AA186" s="138"/>
      <c r="AB186" s="138"/>
      <c r="AC186" s="138"/>
      <c r="AD186" s="138"/>
      <c r="AE186" s="138"/>
      <c r="AF186" s="138"/>
      <c r="AG186" s="138"/>
      <c r="AH186" s="138"/>
      <c r="AI186" s="138"/>
      <c r="AJ186" s="138"/>
    </row>
    <row r="187" spans="1:36" s="31" customFormat="1" ht="46.8">
      <c r="A187" s="85">
        <f>IF(F187&lt;&gt;"",1+MAX($A$2:A186),"")</f>
        <v>116</v>
      </c>
      <c r="B187" s="214"/>
      <c r="C187" s="88"/>
      <c r="D187" s="80" t="s">
        <v>149</v>
      </c>
      <c r="E187" s="60">
        <v>9</v>
      </c>
      <c r="F187" s="90">
        <v>0</v>
      </c>
      <c r="G187" s="89">
        <f t="shared" si="139"/>
        <v>9</v>
      </c>
      <c r="H187" s="60" t="s">
        <v>45</v>
      </c>
      <c r="I187" s="104">
        <v>0.4</v>
      </c>
      <c r="J187" s="105">
        <f t="shared" si="140"/>
        <v>3.6</v>
      </c>
      <c r="K187" s="106">
        <f>'LABOR SHEET'!$C$3</f>
        <v>70</v>
      </c>
      <c r="L187" s="107">
        <f t="shared" si="141"/>
        <v>28</v>
      </c>
      <c r="M187" s="107">
        <f t="shared" si="142"/>
        <v>252</v>
      </c>
      <c r="N187" s="107">
        <f>6.05+6.05+30</f>
        <v>42.1</v>
      </c>
      <c r="O187" s="107">
        <f t="shared" si="143"/>
        <v>378.9</v>
      </c>
      <c r="P187" s="107">
        <f t="shared" si="144"/>
        <v>70.099999999999994</v>
      </c>
      <c r="Q187" s="131">
        <f t="shared" si="145"/>
        <v>630.9</v>
      </c>
      <c r="R187" s="138"/>
      <c r="S187" s="138"/>
      <c r="T187" s="138"/>
      <c r="U187" s="138"/>
      <c r="V187" s="138"/>
      <c r="W187" s="138"/>
      <c r="X187" s="138"/>
      <c r="Y187" s="138"/>
      <c r="Z187" s="138"/>
      <c r="AA187" s="138"/>
      <c r="AB187" s="138"/>
      <c r="AC187" s="138"/>
      <c r="AD187" s="138"/>
      <c r="AE187" s="138"/>
      <c r="AF187" s="138"/>
      <c r="AG187" s="138"/>
      <c r="AH187" s="138"/>
      <c r="AI187" s="138"/>
      <c r="AJ187" s="138"/>
    </row>
    <row r="188" spans="1:36" s="31" customFormat="1" ht="46.8">
      <c r="A188" s="85">
        <f>IF(F188&lt;&gt;"",1+MAX($A$2:A187),"")</f>
        <v>117</v>
      </c>
      <c r="B188" s="214"/>
      <c r="C188" s="88"/>
      <c r="D188" s="80" t="s">
        <v>150</v>
      </c>
      <c r="E188" s="60">
        <v>26</v>
      </c>
      <c r="F188" s="90">
        <v>0</v>
      </c>
      <c r="G188" s="89">
        <f t="shared" si="139"/>
        <v>26</v>
      </c>
      <c r="H188" s="60" t="s">
        <v>45</v>
      </c>
      <c r="I188" s="104">
        <v>0.88</v>
      </c>
      <c r="J188" s="105">
        <f t="shared" si="140"/>
        <v>22.88</v>
      </c>
      <c r="K188" s="106">
        <f>'LABOR SHEET'!$C$3</f>
        <v>70</v>
      </c>
      <c r="L188" s="107">
        <f t="shared" si="141"/>
        <v>61.6</v>
      </c>
      <c r="M188" s="107">
        <f t="shared" si="142"/>
        <v>1601.6</v>
      </c>
      <c r="N188" s="107">
        <v>207.19</v>
      </c>
      <c r="O188" s="107">
        <f t="shared" si="143"/>
        <v>5386.94</v>
      </c>
      <c r="P188" s="107">
        <f t="shared" si="144"/>
        <v>268.79000000000002</v>
      </c>
      <c r="Q188" s="131">
        <f t="shared" si="145"/>
        <v>6988.54</v>
      </c>
      <c r="R188" s="138"/>
      <c r="S188" s="138"/>
      <c r="T188" s="138"/>
      <c r="U188" s="138"/>
      <c r="V188" s="138"/>
      <c r="W188" s="138"/>
      <c r="X188" s="138"/>
      <c r="Y188" s="138"/>
      <c r="Z188" s="138"/>
      <c r="AA188" s="138"/>
      <c r="AB188" s="138"/>
      <c r="AC188" s="138"/>
      <c r="AD188" s="138"/>
      <c r="AE188" s="138"/>
      <c r="AF188" s="138"/>
      <c r="AG188" s="138"/>
      <c r="AH188" s="138"/>
      <c r="AI188" s="138"/>
      <c r="AJ188" s="138"/>
    </row>
    <row r="189" spans="1:36" s="31" customFormat="1" ht="62.4">
      <c r="A189" s="85">
        <f>IF(F189&lt;&gt;"",1+MAX($A$2:A188),"")</f>
        <v>118</v>
      </c>
      <c r="B189" s="214"/>
      <c r="C189" s="88"/>
      <c r="D189" s="80" t="s">
        <v>151</v>
      </c>
      <c r="E189" s="60">
        <v>3</v>
      </c>
      <c r="F189" s="90">
        <v>0</v>
      </c>
      <c r="G189" s="89">
        <f t="shared" ref="G189:G193" si="146">E189*(1+F189)</f>
        <v>3</v>
      </c>
      <c r="H189" s="60" t="s">
        <v>45</v>
      </c>
      <c r="I189" s="104">
        <v>0.74</v>
      </c>
      <c r="J189" s="105">
        <f t="shared" ref="J189:J193" si="147">+I189*G189</f>
        <v>2.2200000000000002</v>
      </c>
      <c r="K189" s="106">
        <f>'LABOR SHEET'!$C$3</f>
        <v>70</v>
      </c>
      <c r="L189" s="107">
        <f t="shared" ref="L189:L193" si="148">I189*K189</f>
        <v>51.8</v>
      </c>
      <c r="M189" s="107">
        <f t="shared" ref="M189:M193" si="149">K189*J189</f>
        <v>155.4</v>
      </c>
      <c r="N189" s="107">
        <v>139.99</v>
      </c>
      <c r="O189" s="107">
        <f t="shared" ref="O189:O193" si="150">N189*G189</f>
        <v>419.97</v>
      </c>
      <c r="P189" s="107">
        <f t="shared" ref="P189:P193" si="151">(I189*K189)+N189</f>
        <v>191.79</v>
      </c>
      <c r="Q189" s="131">
        <f t="shared" ref="Q189:Q193" si="152">P189*G189</f>
        <v>575.37</v>
      </c>
      <c r="R189" s="138"/>
      <c r="S189" s="138"/>
      <c r="T189" s="138"/>
      <c r="U189" s="138"/>
      <c r="V189" s="138"/>
      <c r="W189" s="138"/>
      <c r="X189" s="138"/>
      <c r="Y189" s="138"/>
      <c r="Z189" s="138"/>
      <c r="AA189" s="138"/>
      <c r="AB189" s="138"/>
      <c r="AC189" s="138"/>
      <c r="AD189" s="138"/>
      <c r="AE189" s="138"/>
      <c r="AF189" s="138"/>
      <c r="AG189" s="138"/>
      <c r="AH189" s="138"/>
      <c r="AI189" s="138"/>
      <c r="AJ189" s="138"/>
    </row>
    <row r="190" spans="1:36" s="31" customFormat="1" ht="93.6">
      <c r="A190" s="85">
        <f>IF(F190&lt;&gt;"",1+MAX($A$2:A189),"")</f>
        <v>119</v>
      </c>
      <c r="B190" s="214"/>
      <c r="C190" s="88"/>
      <c r="D190" s="80" t="s">
        <v>152</v>
      </c>
      <c r="E190" s="60">
        <v>99</v>
      </c>
      <c r="F190" s="90">
        <v>0</v>
      </c>
      <c r="G190" s="89">
        <f t="shared" si="146"/>
        <v>99</v>
      </c>
      <c r="H190" s="60" t="s">
        <v>45</v>
      </c>
      <c r="I190" s="104">
        <v>0.38</v>
      </c>
      <c r="J190" s="105">
        <f t="shared" si="147"/>
        <v>37.619999999999997</v>
      </c>
      <c r="K190" s="106">
        <f>'LABOR SHEET'!$C$3</f>
        <v>70</v>
      </c>
      <c r="L190" s="107">
        <f t="shared" si="148"/>
        <v>26.6</v>
      </c>
      <c r="M190" s="107">
        <f t="shared" si="149"/>
        <v>2633.4</v>
      </c>
      <c r="N190" s="107">
        <v>26</v>
      </c>
      <c r="O190" s="107">
        <f t="shared" si="150"/>
        <v>2574</v>
      </c>
      <c r="P190" s="107">
        <f t="shared" si="151"/>
        <v>52.6</v>
      </c>
      <c r="Q190" s="131">
        <f t="shared" si="152"/>
        <v>5207.3999999999996</v>
      </c>
      <c r="R190" s="138"/>
      <c r="S190" s="138"/>
      <c r="T190" s="138"/>
      <c r="U190" s="138"/>
      <c r="V190" s="138"/>
      <c r="W190" s="138"/>
      <c r="X190" s="138"/>
      <c r="Y190" s="138"/>
      <c r="Z190" s="138"/>
      <c r="AA190" s="138"/>
      <c r="AB190" s="138"/>
      <c r="AC190" s="138"/>
      <c r="AD190" s="138"/>
      <c r="AE190" s="138"/>
      <c r="AF190" s="138"/>
      <c r="AG190" s="138"/>
      <c r="AH190" s="138"/>
      <c r="AI190" s="138"/>
      <c r="AJ190" s="138"/>
    </row>
    <row r="191" spans="1:36" s="31" customFormat="1" ht="93.6">
      <c r="A191" s="85">
        <f>IF(F191&lt;&gt;"",1+MAX($A$2:A190),"")</f>
        <v>120</v>
      </c>
      <c r="B191" s="214"/>
      <c r="C191" s="88"/>
      <c r="D191" s="80" t="s">
        <v>153</v>
      </c>
      <c r="E191" s="60">
        <v>53</v>
      </c>
      <c r="F191" s="90">
        <v>0</v>
      </c>
      <c r="G191" s="89">
        <f t="shared" si="146"/>
        <v>53</v>
      </c>
      <c r="H191" s="60" t="s">
        <v>45</v>
      </c>
      <c r="I191" s="104">
        <v>0.34</v>
      </c>
      <c r="J191" s="105">
        <f t="shared" si="147"/>
        <v>18.02</v>
      </c>
      <c r="K191" s="106">
        <f>'LABOR SHEET'!$C$3</f>
        <v>70</v>
      </c>
      <c r="L191" s="107">
        <f t="shared" si="148"/>
        <v>23.8</v>
      </c>
      <c r="M191" s="107">
        <f t="shared" si="149"/>
        <v>1261.4000000000001</v>
      </c>
      <c r="N191" s="107">
        <v>24</v>
      </c>
      <c r="O191" s="107">
        <f t="shared" si="150"/>
        <v>1272</v>
      </c>
      <c r="P191" s="107">
        <f t="shared" si="151"/>
        <v>47.8</v>
      </c>
      <c r="Q191" s="131">
        <f t="shared" si="152"/>
        <v>2533.4</v>
      </c>
      <c r="R191" s="138"/>
      <c r="S191" s="138"/>
      <c r="T191" s="138"/>
      <c r="U191" s="138"/>
      <c r="V191" s="138"/>
      <c r="W191" s="138"/>
      <c r="X191" s="138"/>
      <c r="Y191" s="138"/>
      <c r="Z191" s="138"/>
      <c r="AA191" s="138"/>
      <c r="AB191" s="138"/>
      <c r="AC191" s="138"/>
      <c r="AD191" s="138"/>
      <c r="AE191" s="138"/>
      <c r="AF191" s="138"/>
      <c r="AG191" s="138"/>
      <c r="AH191" s="138"/>
      <c r="AI191" s="138"/>
      <c r="AJ191" s="138"/>
    </row>
    <row r="192" spans="1:36" s="31" customFormat="1" ht="93.6">
      <c r="A192" s="85">
        <f>IF(F192&lt;&gt;"",1+MAX($A$2:A191),"")</f>
        <v>121</v>
      </c>
      <c r="B192" s="214"/>
      <c r="C192" s="88"/>
      <c r="D192" s="80" t="s">
        <v>154</v>
      </c>
      <c r="E192" s="60">
        <v>93</v>
      </c>
      <c r="F192" s="90">
        <v>0</v>
      </c>
      <c r="G192" s="89">
        <f t="shared" si="146"/>
        <v>93</v>
      </c>
      <c r="H192" s="60" t="s">
        <v>45</v>
      </c>
      <c r="I192" s="104">
        <v>0.32</v>
      </c>
      <c r="J192" s="105">
        <f t="shared" si="147"/>
        <v>29.76</v>
      </c>
      <c r="K192" s="106">
        <f>'LABOR SHEET'!$C$3</f>
        <v>70</v>
      </c>
      <c r="L192" s="107">
        <f t="shared" si="148"/>
        <v>22.4</v>
      </c>
      <c r="M192" s="107">
        <f t="shared" si="149"/>
        <v>2083.1999999999998</v>
      </c>
      <c r="N192" s="107">
        <v>21</v>
      </c>
      <c r="O192" s="107">
        <f t="shared" si="150"/>
        <v>1953</v>
      </c>
      <c r="P192" s="107">
        <f t="shared" si="151"/>
        <v>43.4</v>
      </c>
      <c r="Q192" s="131">
        <f t="shared" si="152"/>
        <v>4036.2</v>
      </c>
      <c r="R192" s="138"/>
      <c r="S192" s="138"/>
      <c r="T192" s="138"/>
      <c r="U192" s="138"/>
      <c r="V192" s="138"/>
      <c r="W192" s="138"/>
      <c r="X192" s="138"/>
      <c r="Y192" s="138"/>
      <c r="Z192" s="138"/>
      <c r="AA192" s="138"/>
      <c r="AB192" s="138"/>
      <c r="AC192" s="138"/>
      <c r="AD192" s="138"/>
      <c r="AE192" s="138"/>
      <c r="AF192" s="138"/>
      <c r="AG192" s="138"/>
      <c r="AH192" s="138"/>
      <c r="AI192" s="138"/>
      <c r="AJ192" s="138"/>
    </row>
    <row r="193" spans="1:36" s="31" customFormat="1">
      <c r="A193" s="85">
        <f>IF(F193&lt;&gt;"",1+MAX($A$2:A192),"")</f>
        <v>122</v>
      </c>
      <c r="B193" s="214"/>
      <c r="C193" s="88"/>
      <c r="D193" s="78" t="s">
        <v>155</v>
      </c>
      <c r="E193" s="60">
        <v>1</v>
      </c>
      <c r="F193" s="90">
        <v>0</v>
      </c>
      <c r="G193" s="89">
        <f t="shared" si="146"/>
        <v>1</v>
      </c>
      <c r="H193" s="60" t="s">
        <v>45</v>
      </c>
      <c r="I193" s="104">
        <v>2.85</v>
      </c>
      <c r="J193" s="105">
        <f t="shared" si="147"/>
        <v>2.85</v>
      </c>
      <c r="K193" s="106">
        <f>'LABOR SHEET'!$C$3</f>
        <v>70</v>
      </c>
      <c r="L193" s="107">
        <f t="shared" si="148"/>
        <v>199.5</v>
      </c>
      <c r="M193" s="107">
        <f t="shared" si="149"/>
        <v>199.5</v>
      </c>
      <c r="N193" s="107">
        <v>658.29</v>
      </c>
      <c r="O193" s="107">
        <f t="shared" si="150"/>
        <v>658.29</v>
      </c>
      <c r="P193" s="107">
        <f t="shared" si="151"/>
        <v>857.79</v>
      </c>
      <c r="Q193" s="131">
        <f t="shared" si="152"/>
        <v>857.79</v>
      </c>
      <c r="R193" s="138"/>
      <c r="S193" s="138"/>
      <c r="T193" s="138"/>
      <c r="U193" s="138"/>
      <c r="V193" s="138"/>
      <c r="W193" s="138"/>
      <c r="X193" s="138"/>
      <c r="Y193" s="138"/>
      <c r="Z193" s="138"/>
      <c r="AA193" s="138"/>
      <c r="AB193" s="138"/>
      <c r="AC193" s="138"/>
      <c r="AD193" s="138"/>
      <c r="AE193" s="138"/>
      <c r="AF193" s="138"/>
      <c r="AG193" s="138"/>
      <c r="AH193" s="138"/>
      <c r="AI193" s="138"/>
      <c r="AJ193" s="138"/>
    </row>
    <row r="194" spans="1:36" s="31" customFormat="1" ht="62.4">
      <c r="A194" s="85">
        <f>IF(F194&lt;&gt;"",1+MAX($A$2:A193),"")</f>
        <v>123</v>
      </c>
      <c r="B194" s="214"/>
      <c r="C194" s="88"/>
      <c r="D194" s="80" t="s">
        <v>156</v>
      </c>
      <c r="E194" s="60">
        <v>2</v>
      </c>
      <c r="F194" s="55">
        <v>0</v>
      </c>
      <c r="G194" s="89">
        <f t="shared" ref="G194:G200" si="153">E194*(1+F194)</f>
        <v>2</v>
      </c>
      <c r="H194" s="60" t="s">
        <v>45</v>
      </c>
      <c r="I194" s="104">
        <v>3.1</v>
      </c>
      <c r="J194" s="105">
        <f t="shared" ref="J194:J200" si="154">+I194*G194</f>
        <v>6.2</v>
      </c>
      <c r="K194" s="106">
        <f>'LABOR SHEET'!$C$3</f>
        <v>70</v>
      </c>
      <c r="L194" s="107">
        <f t="shared" ref="L194:L200" si="155">I194*K194</f>
        <v>217</v>
      </c>
      <c r="M194" s="107">
        <f t="shared" ref="M194:M200" si="156">K194*J194</f>
        <v>434</v>
      </c>
      <c r="N194" s="107">
        <v>369.08</v>
      </c>
      <c r="O194" s="107">
        <f t="shared" ref="O194:O200" si="157">N194*G194</f>
        <v>738.16</v>
      </c>
      <c r="P194" s="107">
        <f t="shared" ref="P194:P200" si="158">(I194*K194)+N194</f>
        <v>586.08000000000004</v>
      </c>
      <c r="Q194" s="131">
        <f t="shared" ref="Q194:Q200" si="159">P194*G194</f>
        <v>1172.1600000000001</v>
      </c>
      <c r="R194" s="138"/>
      <c r="S194" s="138"/>
      <c r="T194" s="138"/>
      <c r="U194" s="138"/>
      <c r="V194" s="138"/>
      <c r="W194" s="138"/>
      <c r="X194" s="138"/>
      <c r="Y194" s="138"/>
      <c r="Z194" s="138"/>
      <c r="AA194" s="138"/>
      <c r="AB194" s="138"/>
      <c r="AC194" s="138"/>
      <c r="AD194" s="138"/>
      <c r="AE194" s="138"/>
      <c r="AF194" s="138"/>
      <c r="AG194" s="138"/>
      <c r="AH194" s="138"/>
      <c r="AI194" s="138"/>
      <c r="AJ194" s="138"/>
    </row>
    <row r="195" spans="1:36" s="31" customFormat="1" ht="46.8">
      <c r="A195" s="85">
        <f>IF(F195&lt;&gt;"",1+MAX($A$2:A194),"")</f>
        <v>124</v>
      </c>
      <c r="B195" s="214"/>
      <c r="C195" s="88"/>
      <c r="D195" s="80" t="s">
        <v>157</v>
      </c>
      <c r="E195" s="60">
        <v>3</v>
      </c>
      <c r="F195" s="90">
        <v>0</v>
      </c>
      <c r="G195" s="89">
        <f t="shared" si="153"/>
        <v>3</v>
      </c>
      <c r="H195" s="60" t="s">
        <v>45</v>
      </c>
      <c r="I195" s="104">
        <v>2.8</v>
      </c>
      <c r="J195" s="105">
        <f t="shared" si="154"/>
        <v>8.4</v>
      </c>
      <c r="K195" s="106">
        <f>'LABOR SHEET'!$C$3</f>
        <v>70</v>
      </c>
      <c r="L195" s="107">
        <f t="shared" si="155"/>
        <v>196</v>
      </c>
      <c r="M195" s="107">
        <f t="shared" si="156"/>
        <v>588</v>
      </c>
      <c r="N195" s="107">
        <v>378</v>
      </c>
      <c r="O195" s="107">
        <f t="shared" si="157"/>
        <v>1134</v>
      </c>
      <c r="P195" s="107">
        <f t="shared" si="158"/>
        <v>574</v>
      </c>
      <c r="Q195" s="131">
        <f t="shared" si="159"/>
        <v>1722</v>
      </c>
      <c r="R195" s="138"/>
      <c r="S195" s="138"/>
      <c r="T195" s="138"/>
      <c r="U195" s="138"/>
      <c r="V195" s="138"/>
      <c r="W195" s="138"/>
      <c r="X195" s="138"/>
      <c r="Y195" s="138"/>
      <c r="Z195" s="138"/>
      <c r="AA195" s="138"/>
      <c r="AB195" s="138"/>
      <c r="AC195" s="138"/>
      <c r="AD195" s="138"/>
      <c r="AE195" s="138"/>
      <c r="AF195" s="138"/>
      <c r="AG195" s="138"/>
      <c r="AH195" s="138"/>
      <c r="AI195" s="138"/>
      <c r="AJ195" s="138"/>
    </row>
    <row r="196" spans="1:36" s="31" customFormat="1" ht="31.2">
      <c r="A196" s="85">
        <f>IF(F196&lt;&gt;"",1+MAX($A$2:A195),"")</f>
        <v>125</v>
      </c>
      <c r="B196" s="214"/>
      <c r="C196" s="88"/>
      <c r="D196" s="80" t="s">
        <v>158</v>
      </c>
      <c r="E196" s="60">
        <v>2</v>
      </c>
      <c r="F196" s="90">
        <v>0</v>
      </c>
      <c r="G196" s="89">
        <f t="shared" si="153"/>
        <v>2</v>
      </c>
      <c r="H196" s="60" t="s">
        <v>45</v>
      </c>
      <c r="I196" s="104">
        <v>1</v>
      </c>
      <c r="J196" s="105">
        <f t="shared" si="154"/>
        <v>2</v>
      </c>
      <c r="K196" s="106">
        <f>'LABOR SHEET'!$C$3</f>
        <v>70</v>
      </c>
      <c r="L196" s="107">
        <f t="shared" si="155"/>
        <v>70</v>
      </c>
      <c r="M196" s="107">
        <f t="shared" si="156"/>
        <v>140</v>
      </c>
      <c r="N196" s="107">
        <v>78</v>
      </c>
      <c r="O196" s="107">
        <f t="shared" si="157"/>
        <v>156</v>
      </c>
      <c r="P196" s="107">
        <f t="shared" si="158"/>
        <v>148</v>
      </c>
      <c r="Q196" s="131">
        <f t="shared" si="159"/>
        <v>296</v>
      </c>
      <c r="R196" s="138"/>
      <c r="S196" s="138"/>
      <c r="T196" s="138"/>
      <c r="U196" s="138"/>
      <c r="V196" s="138"/>
      <c r="W196" s="138"/>
      <c r="X196" s="138"/>
      <c r="Y196" s="138"/>
      <c r="Z196" s="138"/>
      <c r="AA196" s="138"/>
      <c r="AB196" s="138"/>
      <c r="AC196" s="138"/>
      <c r="AD196" s="138"/>
      <c r="AE196" s="138"/>
      <c r="AF196" s="138"/>
      <c r="AG196" s="138"/>
      <c r="AH196" s="138"/>
      <c r="AI196" s="138"/>
      <c r="AJ196" s="138"/>
    </row>
    <row r="197" spans="1:36" s="31" customFormat="1" ht="46.8">
      <c r="A197" s="85">
        <f>IF(F197&lt;&gt;"",1+MAX($A$2:A196),"")</f>
        <v>126</v>
      </c>
      <c r="B197" s="214"/>
      <c r="C197" s="88"/>
      <c r="D197" s="80" t="s">
        <v>159</v>
      </c>
      <c r="E197" s="60">
        <v>29</v>
      </c>
      <c r="F197" s="90">
        <v>0</v>
      </c>
      <c r="G197" s="89">
        <f t="shared" si="153"/>
        <v>29</v>
      </c>
      <c r="H197" s="60" t="s">
        <v>45</v>
      </c>
      <c r="I197" s="104">
        <v>0.25</v>
      </c>
      <c r="J197" s="105">
        <f t="shared" si="154"/>
        <v>7.25</v>
      </c>
      <c r="K197" s="106">
        <f>'LABOR SHEET'!$C$3</f>
        <v>70</v>
      </c>
      <c r="L197" s="107">
        <f t="shared" si="155"/>
        <v>17.5</v>
      </c>
      <c r="M197" s="107">
        <f t="shared" si="156"/>
        <v>507.5</v>
      </c>
      <c r="N197" s="107">
        <f>37</f>
        <v>37</v>
      </c>
      <c r="O197" s="107">
        <f t="shared" si="157"/>
        <v>1073</v>
      </c>
      <c r="P197" s="107">
        <f t="shared" si="158"/>
        <v>54.5</v>
      </c>
      <c r="Q197" s="131">
        <f t="shared" si="159"/>
        <v>1580.5</v>
      </c>
      <c r="R197" s="138"/>
      <c r="S197" s="138"/>
      <c r="T197" s="138"/>
      <c r="U197" s="138"/>
      <c r="V197" s="138"/>
      <c r="W197" s="138"/>
      <c r="X197" s="138"/>
      <c r="Y197" s="138"/>
      <c r="Z197" s="138"/>
      <c r="AA197" s="138"/>
      <c r="AB197" s="138"/>
      <c r="AC197" s="138"/>
      <c r="AD197" s="138"/>
      <c r="AE197" s="138"/>
      <c r="AF197" s="138"/>
      <c r="AG197" s="138"/>
      <c r="AH197" s="138"/>
      <c r="AI197" s="138"/>
      <c r="AJ197" s="138"/>
    </row>
    <row r="198" spans="1:36" s="31" customFormat="1" ht="31.2">
      <c r="A198" s="85">
        <f>IF(F198&lt;&gt;"",1+MAX($A$2:A197),"")</f>
        <v>127</v>
      </c>
      <c r="B198" s="214"/>
      <c r="C198" s="88"/>
      <c r="D198" s="80" t="s">
        <v>160</v>
      </c>
      <c r="E198" s="60">
        <v>2</v>
      </c>
      <c r="F198" s="90">
        <v>0</v>
      </c>
      <c r="G198" s="89">
        <f t="shared" si="153"/>
        <v>2</v>
      </c>
      <c r="H198" s="60" t="s">
        <v>45</v>
      </c>
      <c r="I198" s="104">
        <v>3.3849999999999998</v>
      </c>
      <c r="J198" s="105">
        <f t="shared" si="154"/>
        <v>6.77</v>
      </c>
      <c r="K198" s="106">
        <f>'LABOR SHEET'!$C$3</f>
        <v>70</v>
      </c>
      <c r="L198" s="107">
        <f t="shared" si="155"/>
        <v>236.95</v>
      </c>
      <c r="M198" s="107">
        <f t="shared" si="156"/>
        <v>473.9</v>
      </c>
      <c r="N198" s="107">
        <v>371.89</v>
      </c>
      <c r="O198" s="107">
        <f t="shared" si="157"/>
        <v>743.78</v>
      </c>
      <c r="P198" s="107">
        <f t="shared" si="158"/>
        <v>608.84</v>
      </c>
      <c r="Q198" s="131">
        <f t="shared" si="159"/>
        <v>1217.68</v>
      </c>
      <c r="R198" s="138"/>
      <c r="S198" s="138"/>
      <c r="T198" s="138"/>
      <c r="U198" s="138"/>
      <c r="V198" s="138"/>
      <c r="W198" s="138"/>
      <c r="X198" s="138"/>
      <c r="Y198" s="138"/>
      <c r="Z198" s="138"/>
      <c r="AA198" s="138"/>
      <c r="AB198" s="138"/>
      <c r="AC198" s="138"/>
      <c r="AD198" s="138"/>
      <c r="AE198" s="138"/>
      <c r="AF198" s="138"/>
      <c r="AG198" s="138"/>
      <c r="AH198" s="138"/>
      <c r="AI198" s="138"/>
      <c r="AJ198" s="138"/>
    </row>
    <row r="199" spans="1:36" s="31" customFormat="1" ht="46.8">
      <c r="A199" s="85">
        <f>IF(F199&lt;&gt;"",1+MAX($A$2:A198),"")</f>
        <v>128</v>
      </c>
      <c r="B199" s="214"/>
      <c r="C199" s="88"/>
      <c r="D199" s="80" t="s">
        <v>161</v>
      </c>
      <c r="E199" s="60">
        <v>1</v>
      </c>
      <c r="F199" s="90">
        <v>0</v>
      </c>
      <c r="G199" s="89">
        <f t="shared" si="153"/>
        <v>1</v>
      </c>
      <c r="H199" s="60" t="s">
        <v>45</v>
      </c>
      <c r="I199" s="104">
        <v>1.7</v>
      </c>
      <c r="J199" s="105">
        <f t="shared" si="154"/>
        <v>1.7</v>
      </c>
      <c r="K199" s="106">
        <f>'LABOR SHEET'!$C$3</f>
        <v>70</v>
      </c>
      <c r="L199" s="107">
        <f t="shared" si="155"/>
        <v>119</v>
      </c>
      <c r="M199" s="107">
        <f t="shared" si="156"/>
        <v>119</v>
      </c>
      <c r="N199" s="107">
        <v>108.24</v>
      </c>
      <c r="O199" s="107">
        <f t="shared" si="157"/>
        <v>108.24</v>
      </c>
      <c r="P199" s="107">
        <f t="shared" si="158"/>
        <v>227.24</v>
      </c>
      <c r="Q199" s="131">
        <f t="shared" si="159"/>
        <v>227.24</v>
      </c>
      <c r="R199" s="138"/>
      <c r="S199" s="138"/>
      <c r="T199" s="138"/>
      <c r="U199" s="138"/>
      <c r="V199" s="138"/>
      <c r="W199" s="138"/>
      <c r="X199" s="138"/>
      <c r="Y199" s="138"/>
      <c r="Z199" s="138"/>
      <c r="AA199" s="138"/>
      <c r="AB199" s="138"/>
      <c r="AC199" s="138"/>
      <c r="AD199" s="138"/>
      <c r="AE199" s="138"/>
      <c r="AF199" s="138"/>
      <c r="AG199" s="138"/>
      <c r="AH199" s="138"/>
      <c r="AI199" s="138"/>
      <c r="AJ199" s="138"/>
    </row>
    <row r="200" spans="1:36" s="31" customFormat="1">
      <c r="A200" s="85">
        <f>IF(F200&lt;&gt;"",1+MAX($A$2:A199),"")</f>
        <v>129</v>
      </c>
      <c r="B200" s="214"/>
      <c r="C200" s="88"/>
      <c r="D200" s="78" t="s">
        <v>162</v>
      </c>
      <c r="E200" s="60">
        <v>2</v>
      </c>
      <c r="F200" s="90">
        <v>0</v>
      </c>
      <c r="G200" s="89">
        <f t="shared" si="153"/>
        <v>2</v>
      </c>
      <c r="H200" s="60" t="s">
        <v>45</v>
      </c>
      <c r="I200" s="104">
        <v>0.7</v>
      </c>
      <c r="J200" s="105">
        <f t="shared" si="154"/>
        <v>1.4</v>
      </c>
      <c r="K200" s="106">
        <f>'LABOR SHEET'!$C$3</f>
        <v>70</v>
      </c>
      <c r="L200" s="107">
        <f t="shared" si="155"/>
        <v>49</v>
      </c>
      <c r="M200" s="107">
        <f t="shared" si="156"/>
        <v>98</v>
      </c>
      <c r="N200" s="107">
        <v>88</v>
      </c>
      <c r="O200" s="107">
        <f t="shared" si="157"/>
        <v>176</v>
      </c>
      <c r="P200" s="107">
        <f t="shared" si="158"/>
        <v>137</v>
      </c>
      <c r="Q200" s="131">
        <f t="shared" si="159"/>
        <v>274</v>
      </c>
      <c r="R200" s="138"/>
      <c r="S200" s="138"/>
      <c r="T200" s="138"/>
      <c r="U200" s="138"/>
      <c r="V200" s="138"/>
      <c r="W200" s="138"/>
      <c r="X200" s="138"/>
      <c r="Y200" s="138"/>
      <c r="Z200" s="138"/>
      <c r="AA200" s="138"/>
      <c r="AB200" s="138"/>
      <c r="AC200" s="138"/>
      <c r="AD200" s="138"/>
      <c r="AE200" s="138"/>
      <c r="AF200" s="138"/>
      <c r="AG200" s="138"/>
      <c r="AH200" s="138"/>
      <c r="AI200" s="138"/>
      <c r="AJ200" s="138"/>
    </row>
    <row r="201" spans="1:36" s="31" customFormat="1">
      <c r="A201" s="85"/>
      <c r="B201" s="214"/>
      <c r="C201" s="88"/>
      <c r="D201" s="78"/>
      <c r="E201" s="60"/>
      <c r="F201" s="90"/>
      <c r="G201" s="89"/>
      <c r="H201" s="60"/>
      <c r="I201" s="104"/>
      <c r="J201" s="105"/>
      <c r="K201" s="106"/>
      <c r="L201" s="107"/>
      <c r="M201" s="107"/>
      <c r="N201" s="107"/>
      <c r="O201" s="107"/>
      <c r="P201" s="107"/>
      <c r="Q201" s="131"/>
      <c r="R201" s="138"/>
      <c r="S201" s="138"/>
      <c r="T201" s="138"/>
      <c r="U201" s="138"/>
      <c r="V201" s="138"/>
      <c r="W201" s="138"/>
      <c r="X201" s="138"/>
      <c r="Y201" s="138"/>
      <c r="Z201" s="138"/>
      <c r="AA201" s="138"/>
      <c r="AB201" s="138"/>
      <c r="AC201" s="138"/>
      <c r="AD201" s="138"/>
      <c r="AE201" s="138"/>
      <c r="AF201" s="138"/>
      <c r="AG201" s="138"/>
      <c r="AH201" s="138"/>
      <c r="AI201" s="138"/>
      <c r="AJ201" s="138"/>
    </row>
    <row r="202" spans="1:36" s="31" customFormat="1">
      <c r="A202" s="85" t="str">
        <f>IF(F202&lt;&gt;"",1+MAX($A$2:A200),"")</f>
        <v/>
      </c>
      <c r="B202" s="214"/>
      <c r="C202" s="88"/>
      <c r="D202" s="87" t="s">
        <v>163</v>
      </c>
      <c r="E202" s="60"/>
      <c r="F202" s="90"/>
      <c r="G202" s="89"/>
      <c r="H202" s="60"/>
      <c r="I202" s="104"/>
      <c r="J202" s="105"/>
      <c r="K202" s="106"/>
      <c r="L202" s="107"/>
      <c r="M202" s="107"/>
      <c r="N202" s="107"/>
      <c r="O202" s="107"/>
      <c r="P202" s="107"/>
      <c r="Q202" s="131"/>
      <c r="R202" s="138"/>
      <c r="S202" s="138"/>
      <c r="T202" s="138"/>
      <c r="U202" s="138"/>
      <c r="V202" s="138"/>
      <c r="W202" s="138"/>
      <c r="X202" s="138"/>
      <c r="Y202" s="138"/>
      <c r="Z202" s="138"/>
      <c r="AA202" s="138"/>
      <c r="AB202" s="138"/>
      <c r="AC202" s="138"/>
      <c r="AD202" s="138"/>
      <c r="AE202" s="138"/>
      <c r="AF202" s="138"/>
      <c r="AG202" s="138"/>
      <c r="AH202" s="138"/>
      <c r="AI202" s="138"/>
      <c r="AJ202" s="138"/>
    </row>
    <row r="203" spans="1:36" s="31" customFormat="1">
      <c r="A203" s="85" t="str">
        <f>IF(F203&lt;&gt;"",1+MAX($A$2:A202),"")</f>
        <v/>
      </c>
      <c r="B203" s="214"/>
      <c r="C203" s="88"/>
      <c r="D203" s="97" t="s">
        <v>164</v>
      </c>
      <c r="E203" s="60"/>
      <c r="F203" s="90"/>
      <c r="G203" s="89"/>
      <c r="H203" s="60"/>
      <c r="I203" s="104"/>
      <c r="J203" s="105"/>
      <c r="K203" s="106"/>
      <c r="L203" s="107"/>
      <c r="M203" s="107"/>
      <c r="N203" s="107"/>
      <c r="O203" s="107"/>
      <c r="P203" s="107"/>
      <c r="Q203" s="131"/>
      <c r="R203" s="138"/>
      <c r="S203" s="138"/>
      <c r="T203" s="138"/>
      <c r="U203" s="138"/>
      <c r="V203" s="138"/>
      <c r="W203" s="138"/>
      <c r="X203" s="138"/>
      <c r="Y203" s="138"/>
      <c r="Z203" s="138"/>
      <c r="AA203" s="138"/>
      <c r="AB203" s="138"/>
      <c r="AC203" s="138"/>
      <c r="AD203" s="138"/>
      <c r="AE203" s="138"/>
      <c r="AF203" s="138"/>
      <c r="AG203" s="138"/>
      <c r="AH203" s="138"/>
      <c r="AI203" s="138"/>
      <c r="AJ203" s="138"/>
    </row>
    <row r="204" spans="1:36" s="31" customFormat="1" ht="46.8">
      <c r="A204" s="85">
        <f>IF(F204&lt;&gt;"",1+MAX($A$2:A203),"")</f>
        <v>130</v>
      </c>
      <c r="B204" s="214"/>
      <c r="C204" s="88"/>
      <c r="D204" s="80" t="s">
        <v>165</v>
      </c>
      <c r="E204" s="60">
        <v>6</v>
      </c>
      <c r="F204" s="90">
        <v>0</v>
      </c>
      <c r="G204" s="89">
        <f>E204*(1+F204)</f>
        <v>6</v>
      </c>
      <c r="H204" s="60" t="s">
        <v>45</v>
      </c>
      <c r="I204" s="104">
        <v>3.1</v>
      </c>
      <c r="J204" s="105">
        <f>+I204*G204</f>
        <v>18.600000000000001</v>
      </c>
      <c r="K204" s="106">
        <f>'LABOR SHEET'!$C$5</f>
        <v>45</v>
      </c>
      <c r="L204" s="107">
        <f>I204*K204</f>
        <v>139.5</v>
      </c>
      <c r="M204" s="107">
        <f>K204*J204</f>
        <v>837</v>
      </c>
      <c r="N204" s="107">
        <v>254</v>
      </c>
      <c r="O204" s="107">
        <f>N204*G204</f>
        <v>1524</v>
      </c>
      <c r="P204" s="107">
        <f>(I204*K204)+N204</f>
        <v>393.5</v>
      </c>
      <c r="Q204" s="131">
        <f>P204*G204</f>
        <v>2361</v>
      </c>
      <c r="R204" s="138"/>
      <c r="S204" s="138"/>
      <c r="T204" s="138"/>
      <c r="U204" s="138"/>
      <c r="V204" s="138"/>
      <c r="W204" s="138"/>
      <c r="X204" s="138"/>
      <c r="Y204" s="138"/>
      <c r="Z204" s="138"/>
      <c r="AA204" s="138"/>
      <c r="AB204" s="138"/>
      <c r="AC204" s="138"/>
      <c r="AD204" s="138"/>
      <c r="AE204" s="138"/>
      <c r="AF204" s="138"/>
      <c r="AG204" s="138"/>
      <c r="AH204" s="138"/>
      <c r="AI204" s="138"/>
      <c r="AJ204" s="138"/>
    </row>
    <row r="205" spans="1:36" s="31" customFormat="1" ht="46.8">
      <c r="A205" s="85">
        <f>IF(F205&lt;&gt;"",1+MAX($A$2:A204),"")</f>
        <v>131</v>
      </c>
      <c r="B205" s="214"/>
      <c r="C205" s="88"/>
      <c r="D205" s="80" t="s">
        <v>166</v>
      </c>
      <c r="E205" s="60">
        <v>9</v>
      </c>
      <c r="F205" s="90">
        <v>0</v>
      </c>
      <c r="G205" s="89">
        <f t="shared" ref="G205:G208" si="160">E205*(1+F205)</f>
        <v>9</v>
      </c>
      <c r="H205" s="60" t="s">
        <v>45</v>
      </c>
      <c r="I205" s="104">
        <v>3.85</v>
      </c>
      <c r="J205" s="105">
        <f t="shared" ref="J205:J208" si="161">+I205*G205</f>
        <v>34.65</v>
      </c>
      <c r="K205" s="106">
        <f>'LABOR SHEET'!$C$5</f>
        <v>45</v>
      </c>
      <c r="L205" s="107">
        <f t="shared" ref="L205:L208" si="162">I205*K205</f>
        <v>173.25</v>
      </c>
      <c r="M205" s="107">
        <f t="shared" ref="M205:M208" si="163">K205*J205</f>
        <v>1559.25</v>
      </c>
      <c r="N205" s="107">
        <v>287</v>
      </c>
      <c r="O205" s="107">
        <f t="shared" ref="O205:O208" si="164">N205*G205</f>
        <v>2583</v>
      </c>
      <c r="P205" s="107">
        <f t="shared" ref="P205:P208" si="165">(I205*K205)+N205</f>
        <v>460.25</v>
      </c>
      <c r="Q205" s="131">
        <f t="shared" ref="Q205:Q208" si="166">P205*G205</f>
        <v>4142.25</v>
      </c>
      <c r="R205" s="138"/>
      <c r="S205" s="138"/>
      <c r="T205" s="138"/>
      <c r="U205" s="138"/>
      <c r="V205" s="138"/>
      <c r="W205" s="138"/>
      <c r="X205" s="138"/>
      <c r="Y205" s="138"/>
      <c r="Z205" s="138"/>
      <c r="AA205" s="138"/>
      <c r="AB205" s="138"/>
      <c r="AC205" s="138"/>
      <c r="AD205" s="138"/>
      <c r="AE205" s="138"/>
      <c r="AF205" s="138"/>
      <c r="AG205" s="138"/>
      <c r="AH205" s="138"/>
      <c r="AI205" s="138"/>
      <c r="AJ205" s="138"/>
    </row>
    <row r="206" spans="1:36" s="31" customFormat="1" ht="31.2">
      <c r="A206" s="85">
        <f>IF(F206&lt;&gt;"",1+MAX($A$2:A205),"")</f>
        <v>132</v>
      </c>
      <c r="B206" s="214"/>
      <c r="C206" s="88"/>
      <c r="D206" s="80" t="s">
        <v>167</v>
      </c>
      <c r="E206" s="60">
        <v>14</v>
      </c>
      <c r="F206" s="90">
        <v>0</v>
      </c>
      <c r="G206" s="89">
        <f t="shared" si="160"/>
        <v>14</v>
      </c>
      <c r="H206" s="60" t="s">
        <v>45</v>
      </c>
      <c r="I206" s="104">
        <v>3.1</v>
      </c>
      <c r="J206" s="105">
        <f t="shared" si="161"/>
        <v>43.4</v>
      </c>
      <c r="K206" s="106">
        <f>'LABOR SHEET'!$C$5</f>
        <v>45</v>
      </c>
      <c r="L206" s="107">
        <f t="shared" si="162"/>
        <v>139.5</v>
      </c>
      <c r="M206" s="107">
        <f t="shared" si="163"/>
        <v>1953</v>
      </c>
      <c r="N206" s="107">
        <v>244</v>
      </c>
      <c r="O206" s="107">
        <f t="shared" si="164"/>
        <v>3416</v>
      </c>
      <c r="P206" s="107">
        <f t="shared" si="165"/>
        <v>383.5</v>
      </c>
      <c r="Q206" s="131">
        <f t="shared" si="166"/>
        <v>5369</v>
      </c>
      <c r="R206" s="138"/>
      <c r="S206" s="138"/>
      <c r="T206" s="138"/>
      <c r="U206" s="138"/>
      <c r="V206" s="138"/>
      <c r="W206" s="138"/>
      <c r="X206" s="138"/>
      <c r="Y206" s="138"/>
      <c r="Z206" s="138"/>
      <c r="AA206" s="138"/>
      <c r="AB206" s="138"/>
      <c r="AC206" s="138"/>
      <c r="AD206" s="138"/>
      <c r="AE206" s="138"/>
      <c r="AF206" s="138"/>
      <c r="AG206" s="138"/>
      <c r="AH206" s="138"/>
      <c r="AI206" s="138"/>
      <c r="AJ206" s="138"/>
    </row>
    <row r="207" spans="1:36" s="31" customFormat="1" ht="46.8">
      <c r="A207" s="85">
        <f>IF(F207&lt;&gt;"",1+MAX($A$2:A206),"")</f>
        <v>133</v>
      </c>
      <c r="B207" s="214"/>
      <c r="C207" s="88"/>
      <c r="D207" s="80" t="s">
        <v>168</v>
      </c>
      <c r="E207" s="60">
        <v>6</v>
      </c>
      <c r="F207" s="90">
        <v>0</v>
      </c>
      <c r="G207" s="89">
        <f t="shared" si="160"/>
        <v>6</v>
      </c>
      <c r="H207" s="60" t="s">
        <v>45</v>
      </c>
      <c r="I207" s="104">
        <v>4.2</v>
      </c>
      <c r="J207" s="105">
        <f t="shared" si="161"/>
        <v>25.2</v>
      </c>
      <c r="K207" s="106">
        <f>'LABOR SHEET'!$C$5</f>
        <v>45</v>
      </c>
      <c r="L207" s="107">
        <f t="shared" si="162"/>
        <v>189</v>
      </c>
      <c r="M207" s="107">
        <f t="shared" si="163"/>
        <v>1134</v>
      </c>
      <c r="N207" s="107">
        <v>545</v>
      </c>
      <c r="O207" s="107">
        <f t="shared" si="164"/>
        <v>3270</v>
      </c>
      <c r="P207" s="107">
        <f t="shared" si="165"/>
        <v>734</v>
      </c>
      <c r="Q207" s="131">
        <f t="shared" si="166"/>
        <v>4404</v>
      </c>
      <c r="R207" s="138"/>
      <c r="S207" s="138"/>
      <c r="T207" s="138"/>
      <c r="U207" s="138"/>
      <c r="V207" s="138"/>
      <c r="W207" s="138"/>
      <c r="X207" s="138"/>
      <c r="Y207" s="138"/>
      <c r="Z207" s="138"/>
      <c r="AA207" s="138"/>
      <c r="AB207" s="138"/>
      <c r="AC207" s="138"/>
      <c r="AD207" s="138"/>
      <c r="AE207" s="138"/>
      <c r="AF207" s="138"/>
      <c r="AG207" s="138"/>
      <c r="AH207" s="138"/>
      <c r="AI207" s="138"/>
      <c r="AJ207" s="138"/>
    </row>
    <row r="208" spans="1:36" s="31" customFormat="1">
      <c r="A208" s="85">
        <f>IF(F208&lt;&gt;"",1+MAX($A$2:A207),"")</f>
        <v>134</v>
      </c>
      <c r="B208" s="214"/>
      <c r="C208" s="143"/>
      <c r="D208" s="80" t="s">
        <v>169</v>
      </c>
      <c r="E208" s="60">
        <f>35*3</f>
        <v>105</v>
      </c>
      <c r="F208" s="90">
        <v>0</v>
      </c>
      <c r="G208" s="89">
        <f t="shared" si="160"/>
        <v>105</v>
      </c>
      <c r="H208" s="60" t="s">
        <v>45</v>
      </c>
      <c r="I208" s="104">
        <v>6.0000000000000001E-3</v>
      </c>
      <c r="J208" s="105">
        <f t="shared" si="161"/>
        <v>0.63</v>
      </c>
      <c r="K208" s="106">
        <f>'LABOR SHEET'!$C$5</f>
        <v>45</v>
      </c>
      <c r="L208" s="107">
        <f t="shared" si="162"/>
        <v>0.27</v>
      </c>
      <c r="M208" s="107">
        <f t="shared" si="163"/>
        <v>28.35</v>
      </c>
      <c r="N208" s="107">
        <v>0.79</v>
      </c>
      <c r="O208" s="107">
        <f t="shared" si="164"/>
        <v>82.95</v>
      </c>
      <c r="P208" s="107">
        <f t="shared" si="165"/>
        <v>1.06</v>
      </c>
      <c r="Q208" s="131">
        <f t="shared" si="166"/>
        <v>111.3</v>
      </c>
      <c r="R208" s="138"/>
      <c r="S208" s="138"/>
      <c r="T208" s="138"/>
      <c r="U208" s="138"/>
      <c r="V208" s="138"/>
      <c r="W208" s="138"/>
      <c r="X208" s="138"/>
      <c r="Y208" s="138"/>
      <c r="Z208" s="138"/>
      <c r="AA208" s="138"/>
      <c r="AB208" s="138"/>
      <c r="AC208" s="138"/>
      <c r="AD208" s="138"/>
      <c r="AE208" s="138"/>
      <c r="AF208" s="138"/>
      <c r="AG208" s="138"/>
      <c r="AH208" s="138"/>
      <c r="AI208" s="138"/>
      <c r="AJ208" s="138"/>
    </row>
    <row r="209" spans="1:36" s="31" customFormat="1">
      <c r="A209" s="85"/>
      <c r="B209" s="214"/>
      <c r="C209" s="143"/>
      <c r="D209" s="80"/>
      <c r="E209" s="60"/>
      <c r="F209" s="90"/>
      <c r="G209" s="89"/>
      <c r="H209" s="60"/>
      <c r="I209" s="104"/>
      <c r="J209" s="105"/>
      <c r="K209" s="106"/>
      <c r="L209" s="107"/>
      <c r="M209" s="107"/>
      <c r="N209" s="107"/>
      <c r="O209" s="107"/>
      <c r="P209" s="107"/>
      <c r="Q209" s="131"/>
      <c r="R209" s="138"/>
      <c r="S209" s="138"/>
      <c r="T209" s="138"/>
      <c r="U209" s="138"/>
      <c r="V209" s="138"/>
      <c r="W209" s="138"/>
      <c r="X209" s="138"/>
      <c r="Y209" s="138"/>
      <c r="Z209" s="138"/>
      <c r="AA209" s="138"/>
      <c r="AB209" s="138"/>
      <c r="AC209" s="138"/>
      <c r="AD209" s="138"/>
      <c r="AE209" s="138"/>
      <c r="AF209" s="138"/>
      <c r="AG209" s="138"/>
      <c r="AH209" s="138"/>
      <c r="AI209" s="138"/>
      <c r="AJ209" s="138"/>
    </row>
    <row r="210" spans="1:36" s="31" customFormat="1">
      <c r="A210" s="85" t="str">
        <f>IF(F210&lt;&gt;"",1+MAX($A$2:A208),"")</f>
        <v/>
      </c>
      <c r="B210" s="214"/>
      <c r="C210" s="88"/>
      <c r="D210" s="97" t="s">
        <v>170</v>
      </c>
      <c r="E210" s="60"/>
      <c r="F210" s="90"/>
      <c r="G210" s="89"/>
      <c r="H210" s="60"/>
      <c r="I210" s="104"/>
      <c r="J210" s="105"/>
      <c r="K210" s="106"/>
      <c r="L210" s="107"/>
      <c r="M210" s="107"/>
      <c r="N210" s="107"/>
      <c r="O210" s="107"/>
      <c r="P210" s="107"/>
      <c r="Q210" s="131"/>
      <c r="R210" s="138"/>
      <c r="S210" s="138"/>
      <c r="T210" s="138"/>
      <c r="U210" s="138"/>
      <c r="V210" s="138"/>
      <c r="W210" s="138"/>
      <c r="X210" s="138"/>
      <c r="Y210" s="138"/>
      <c r="Z210" s="138"/>
      <c r="AA210" s="138"/>
      <c r="AB210" s="138"/>
      <c r="AC210" s="138"/>
      <c r="AD210" s="138"/>
      <c r="AE210" s="138"/>
      <c r="AF210" s="138"/>
      <c r="AG210" s="138"/>
      <c r="AH210" s="138"/>
      <c r="AI210" s="138"/>
      <c r="AJ210" s="138"/>
    </row>
    <row r="211" spans="1:36" s="31" customFormat="1" ht="46.8">
      <c r="A211" s="85">
        <f>IF(F211&lt;&gt;"",1+MAX($A$2:A210),"")</f>
        <v>135</v>
      </c>
      <c r="B211" s="214"/>
      <c r="C211" s="88"/>
      <c r="D211" s="80" t="s">
        <v>171</v>
      </c>
      <c r="E211" s="60">
        <v>15</v>
      </c>
      <c r="F211" s="90">
        <v>0</v>
      </c>
      <c r="G211" s="89">
        <f t="shared" ref="G211:G216" si="167">E211*(1+F211)</f>
        <v>15</v>
      </c>
      <c r="H211" s="60" t="s">
        <v>45</v>
      </c>
      <c r="I211" s="104">
        <v>1.1000000000000001</v>
      </c>
      <c r="J211" s="105">
        <f t="shared" ref="J211:J216" si="168">+I211*G211</f>
        <v>16.5</v>
      </c>
      <c r="K211" s="106">
        <f>'LABOR SHEET'!$C$5</f>
        <v>45</v>
      </c>
      <c r="L211" s="107">
        <f t="shared" ref="L211:L216" si="169">I211*K211</f>
        <v>49.5</v>
      </c>
      <c r="M211" s="107">
        <f t="shared" ref="M211:M216" si="170">K211*J211</f>
        <v>742.5</v>
      </c>
      <c r="N211" s="107">
        <v>38</v>
      </c>
      <c r="O211" s="107">
        <f t="shared" ref="O211:O216" si="171">N211*G211</f>
        <v>570</v>
      </c>
      <c r="P211" s="107">
        <f t="shared" ref="P211:P216" si="172">(I211*K211)+N211</f>
        <v>87.5</v>
      </c>
      <c r="Q211" s="131">
        <f t="shared" ref="Q211:Q216" si="173">P211*G211</f>
        <v>1312.5</v>
      </c>
      <c r="R211" s="138"/>
      <c r="S211" s="138"/>
      <c r="T211" s="138"/>
      <c r="U211" s="138"/>
      <c r="V211" s="138"/>
      <c r="W211" s="138"/>
      <c r="X211" s="138"/>
      <c r="Y211" s="138"/>
      <c r="Z211" s="138"/>
      <c r="AA211" s="138"/>
      <c r="AB211" s="138"/>
      <c r="AC211" s="138"/>
      <c r="AD211" s="138"/>
      <c r="AE211" s="138"/>
      <c r="AF211" s="138"/>
      <c r="AG211" s="138"/>
      <c r="AH211" s="138"/>
      <c r="AI211" s="138"/>
      <c r="AJ211" s="138"/>
    </row>
    <row r="212" spans="1:36" s="31" customFormat="1" ht="46.8">
      <c r="A212" s="85">
        <f>IF(F212&lt;&gt;"",1+MAX($A$2:A211),"")</f>
        <v>136</v>
      </c>
      <c r="B212" s="214"/>
      <c r="C212" s="88"/>
      <c r="D212" s="80" t="s">
        <v>172</v>
      </c>
      <c r="E212" s="60">
        <v>74</v>
      </c>
      <c r="F212" s="90">
        <v>0</v>
      </c>
      <c r="G212" s="89">
        <f t="shared" si="167"/>
        <v>74</v>
      </c>
      <c r="H212" s="60" t="s">
        <v>45</v>
      </c>
      <c r="I212" s="104">
        <v>1.2</v>
      </c>
      <c r="J212" s="105">
        <f t="shared" si="168"/>
        <v>88.8</v>
      </c>
      <c r="K212" s="106">
        <f>'LABOR SHEET'!$C$5</f>
        <v>45</v>
      </c>
      <c r="L212" s="107">
        <f t="shared" si="169"/>
        <v>54</v>
      </c>
      <c r="M212" s="107">
        <f t="shared" si="170"/>
        <v>3996</v>
      </c>
      <c r="N212" s="107">
        <v>92.55</v>
      </c>
      <c r="O212" s="107">
        <f t="shared" si="171"/>
        <v>6848.7</v>
      </c>
      <c r="P212" s="107">
        <f t="shared" si="172"/>
        <v>146.55000000000001</v>
      </c>
      <c r="Q212" s="131">
        <f t="shared" si="173"/>
        <v>10844.7</v>
      </c>
      <c r="R212" s="138"/>
      <c r="S212" s="138"/>
      <c r="T212" s="138"/>
      <c r="U212" s="138"/>
      <c r="V212" s="138"/>
      <c r="W212" s="138"/>
      <c r="X212" s="138"/>
      <c r="Y212" s="138"/>
      <c r="Z212" s="138"/>
      <c r="AA212" s="138"/>
      <c r="AB212" s="138"/>
      <c r="AC212" s="138"/>
      <c r="AD212" s="138"/>
      <c r="AE212" s="138"/>
      <c r="AF212" s="138"/>
      <c r="AG212" s="138"/>
      <c r="AH212" s="138"/>
      <c r="AI212" s="138"/>
      <c r="AJ212" s="138"/>
    </row>
    <row r="213" spans="1:36" s="31" customFormat="1" ht="31.2">
      <c r="A213" s="85">
        <f>IF(F213&lt;&gt;"",1+MAX($A$2:A212),"")</f>
        <v>137</v>
      </c>
      <c r="B213" s="214"/>
      <c r="C213" s="88"/>
      <c r="D213" s="80" t="s">
        <v>173</v>
      </c>
      <c r="E213" s="60">
        <v>31</v>
      </c>
      <c r="F213" s="90">
        <v>0</v>
      </c>
      <c r="G213" s="89">
        <f t="shared" si="167"/>
        <v>31</v>
      </c>
      <c r="H213" s="60" t="s">
        <v>45</v>
      </c>
      <c r="I213" s="104">
        <v>1.1000000000000001</v>
      </c>
      <c r="J213" s="105">
        <f t="shared" si="168"/>
        <v>34.1</v>
      </c>
      <c r="K213" s="106">
        <f>'LABOR SHEET'!$C$5</f>
        <v>45</v>
      </c>
      <c r="L213" s="107">
        <f t="shared" si="169"/>
        <v>49.5</v>
      </c>
      <c r="M213" s="107">
        <f t="shared" si="170"/>
        <v>1534.5</v>
      </c>
      <c r="N213" s="107">
        <v>44</v>
      </c>
      <c r="O213" s="107">
        <f t="shared" si="171"/>
        <v>1364</v>
      </c>
      <c r="P213" s="107">
        <f t="shared" si="172"/>
        <v>93.5</v>
      </c>
      <c r="Q213" s="131">
        <f t="shared" si="173"/>
        <v>2898.5</v>
      </c>
      <c r="R213" s="138"/>
      <c r="S213" s="138"/>
      <c r="T213" s="138"/>
      <c r="U213" s="138"/>
      <c r="V213" s="138"/>
      <c r="W213" s="138"/>
      <c r="X213" s="138"/>
      <c r="Y213" s="138"/>
      <c r="Z213" s="138"/>
      <c r="AA213" s="138"/>
      <c r="AB213" s="138"/>
      <c r="AC213" s="138"/>
      <c r="AD213" s="138"/>
      <c r="AE213" s="138"/>
      <c r="AF213" s="138"/>
      <c r="AG213" s="138"/>
      <c r="AH213" s="138"/>
      <c r="AI213" s="138"/>
      <c r="AJ213" s="138"/>
    </row>
    <row r="214" spans="1:36" s="31" customFormat="1" ht="31.2">
      <c r="A214" s="85">
        <f>IF(F214&lt;&gt;"",1+MAX($A$2:A213),"")</f>
        <v>138</v>
      </c>
      <c r="B214" s="214"/>
      <c r="C214" s="88"/>
      <c r="D214" s="80" t="s">
        <v>174</v>
      </c>
      <c r="E214" s="60">
        <v>32</v>
      </c>
      <c r="F214" s="90">
        <v>0</v>
      </c>
      <c r="G214" s="89">
        <f t="shared" si="167"/>
        <v>32</v>
      </c>
      <c r="H214" s="60" t="s">
        <v>45</v>
      </c>
      <c r="I214" s="104">
        <v>1.2</v>
      </c>
      <c r="J214" s="105">
        <f t="shared" si="168"/>
        <v>38.4</v>
      </c>
      <c r="K214" s="106">
        <f>'LABOR SHEET'!$C$5</f>
        <v>45</v>
      </c>
      <c r="L214" s="107">
        <f t="shared" si="169"/>
        <v>54</v>
      </c>
      <c r="M214" s="107">
        <f t="shared" si="170"/>
        <v>1728</v>
      </c>
      <c r="N214" s="107">
        <v>88</v>
      </c>
      <c r="O214" s="107">
        <f t="shared" si="171"/>
        <v>2816</v>
      </c>
      <c r="P214" s="107">
        <f t="shared" si="172"/>
        <v>142</v>
      </c>
      <c r="Q214" s="131">
        <f t="shared" si="173"/>
        <v>4544</v>
      </c>
      <c r="R214" s="138"/>
      <c r="S214" s="138"/>
      <c r="T214" s="138"/>
      <c r="U214" s="138"/>
      <c r="V214" s="138"/>
      <c r="W214" s="138"/>
      <c r="X214" s="138"/>
      <c r="Y214" s="138"/>
      <c r="Z214" s="138"/>
      <c r="AA214" s="138"/>
      <c r="AB214" s="138"/>
      <c r="AC214" s="138"/>
      <c r="AD214" s="138"/>
      <c r="AE214" s="138"/>
      <c r="AF214" s="138"/>
      <c r="AG214" s="138"/>
      <c r="AH214" s="138"/>
      <c r="AI214" s="138"/>
      <c r="AJ214" s="138"/>
    </row>
    <row r="215" spans="1:36" s="31" customFormat="1" ht="46.8">
      <c r="A215" s="85">
        <f>IF(F215&lt;&gt;"",1+MAX($A$2:A214),"")</f>
        <v>139</v>
      </c>
      <c r="B215" s="214"/>
      <c r="C215" s="88"/>
      <c r="D215" s="80" t="s">
        <v>175</v>
      </c>
      <c r="E215" s="60">
        <v>4</v>
      </c>
      <c r="F215" s="90">
        <v>0</v>
      </c>
      <c r="G215" s="89">
        <f t="shared" si="167"/>
        <v>4</v>
      </c>
      <c r="H215" s="60" t="s">
        <v>45</v>
      </c>
      <c r="I215" s="104">
        <v>1</v>
      </c>
      <c r="J215" s="105">
        <f t="shared" si="168"/>
        <v>4</v>
      </c>
      <c r="K215" s="106">
        <f>'LABOR SHEET'!$C$5</f>
        <v>45</v>
      </c>
      <c r="L215" s="107">
        <f t="shared" si="169"/>
        <v>45</v>
      </c>
      <c r="M215" s="107">
        <f t="shared" si="170"/>
        <v>180</v>
      </c>
      <c r="N215" s="107">
        <v>140</v>
      </c>
      <c r="O215" s="107">
        <f t="shared" si="171"/>
        <v>560</v>
      </c>
      <c r="P215" s="107">
        <f t="shared" si="172"/>
        <v>185</v>
      </c>
      <c r="Q215" s="131">
        <f t="shared" si="173"/>
        <v>740</v>
      </c>
      <c r="R215" s="138"/>
      <c r="S215" s="138"/>
      <c r="T215" s="138"/>
      <c r="U215" s="138"/>
      <c r="V215" s="138"/>
      <c r="W215" s="138"/>
      <c r="X215" s="138"/>
      <c r="Y215" s="138"/>
      <c r="Z215" s="138"/>
      <c r="AA215" s="138"/>
      <c r="AB215" s="138"/>
      <c r="AC215" s="138"/>
      <c r="AD215" s="138"/>
      <c r="AE215" s="138"/>
      <c r="AF215" s="138"/>
      <c r="AG215" s="138"/>
      <c r="AH215" s="138"/>
      <c r="AI215" s="138"/>
      <c r="AJ215" s="138"/>
    </row>
    <row r="216" spans="1:36" s="31" customFormat="1">
      <c r="A216" s="85">
        <f>IF(F216&lt;&gt;"",1+MAX($A$2:A215),"")</f>
        <v>140</v>
      </c>
      <c r="B216" s="214"/>
      <c r="C216" s="88"/>
      <c r="D216" s="80" t="s">
        <v>176</v>
      </c>
      <c r="E216" s="60">
        <f>156*2</f>
        <v>312</v>
      </c>
      <c r="F216" s="90">
        <v>0</v>
      </c>
      <c r="G216" s="89">
        <f t="shared" si="167"/>
        <v>312</v>
      </c>
      <c r="H216" s="60" t="s">
        <v>45</v>
      </c>
      <c r="I216" s="104">
        <v>6.0000000000000001E-3</v>
      </c>
      <c r="J216" s="105">
        <f t="shared" si="168"/>
        <v>1.8720000000000001</v>
      </c>
      <c r="K216" s="106">
        <f>'LABOR SHEET'!$C$5</f>
        <v>45</v>
      </c>
      <c r="L216" s="107">
        <f t="shared" si="169"/>
        <v>0.27</v>
      </c>
      <c r="M216" s="107">
        <f t="shared" si="170"/>
        <v>84.24</v>
      </c>
      <c r="N216" s="107">
        <v>0.79</v>
      </c>
      <c r="O216" s="107">
        <f t="shared" si="171"/>
        <v>246.48</v>
      </c>
      <c r="P216" s="107">
        <f t="shared" si="172"/>
        <v>1.06</v>
      </c>
      <c r="Q216" s="131">
        <f t="shared" si="173"/>
        <v>330.72</v>
      </c>
      <c r="R216" s="138"/>
      <c r="S216" s="138"/>
      <c r="T216" s="138"/>
      <c r="U216" s="138"/>
      <c r="V216" s="138"/>
      <c r="W216" s="138"/>
      <c r="X216" s="138"/>
      <c r="Y216" s="138"/>
      <c r="Z216" s="138"/>
      <c r="AA216" s="138"/>
      <c r="AB216" s="138"/>
      <c r="AC216" s="138"/>
      <c r="AD216" s="138"/>
      <c r="AE216" s="138"/>
      <c r="AF216" s="138"/>
      <c r="AG216" s="138"/>
      <c r="AH216" s="138"/>
      <c r="AI216" s="138"/>
      <c r="AJ216" s="138"/>
    </row>
    <row r="217" spans="1:36" s="31" customFormat="1">
      <c r="A217" s="85"/>
      <c r="B217" s="214"/>
      <c r="C217" s="88"/>
      <c r="D217" s="80"/>
      <c r="E217" s="60"/>
      <c r="F217" s="90"/>
      <c r="G217" s="89"/>
      <c r="H217" s="60"/>
      <c r="I217" s="104"/>
      <c r="J217" s="105"/>
      <c r="K217" s="106"/>
      <c r="L217" s="107"/>
      <c r="M217" s="107"/>
      <c r="N217" s="107"/>
      <c r="O217" s="107"/>
      <c r="P217" s="107"/>
      <c r="Q217" s="131"/>
      <c r="R217" s="138"/>
      <c r="S217" s="138"/>
      <c r="T217" s="138"/>
      <c r="U217" s="138"/>
      <c r="V217" s="138"/>
      <c r="W217" s="138"/>
      <c r="X217" s="138"/>
      <c r="Y217" s="138"/>
      <c r="Z217" s="138"/>
      <c r="AA217" s="138"/>
      <c r="AB217" s="138"/>
      <c r="AC217" s="138"/>
      <c r="AD217" s="138"/>
      <c r="AE217" s="138"/>
      <c r="AF217" s="138"/>
      <c r="AG217" s="138"/>
      <c r="AH217" s="138"/>
      <c r="AI217" s="138"/>
      <c r="AJ217" s="138"/>
    </row>
    <row r="218" spans="1:36" s="31" customFormat="1">
      <c r="A218" s="85" t="str">
        <f>IF(F218&lt;&gt;"",1+MAX($A$2:A216),"")</f>
        <v/>
      </c>
      <c r="B218" s="214"/>
      <c r="C218" s="88"/>
      <c r="D218" s="97" t="s">
        <v>177</v>
      </c>
      <c r="E218" s="60"/>
      <c r="F218" s="90"/>
      <c r="G218" s="89"/>
      <c r="H218" s="60"/>
      <c r="I218" s="104"/>
      <c r="J218" s="105"/>
      <c r="K218" s="106"/>
      <c r="L218" s="107"/>
      <c r="M218" s="107"/>
      <c r="N218" s="107"/>
      <c r="O218" s="107"/>
      <c r="P218" s="107"/>
      <c r="Q218" s="131"/>
      <c r="R218" s="138"/>
      <c r="S218" s="138"/>
      <c r="T218" s="138"/>
      <c r="U218" s="138"/>
      <c r="V218" s="138"/>
      <c r="W218" s="138"/>
      <c r="X218" s="138"/>
      <c r="Y218" s="138"/>
      <c r="Z218" s="138"/>
      <c r="AA218" s="138"/>
      <c r="AB218" s="138"/>
      <c r="AC218" s="138"/>
      <c r="AD218" s="138"/>
      <c r="AE218" s="138"/>
      <c r="AF218" s="138"/>
      <c r="AG218" s="138"/>
      <c r="AH218" s="138"/>
      <c r="AI218" s="138"/>
      <c r="AJ218" s="138"/>
    </row>
    <row r="219" spans="1:36" s="31" customFormat="1" ht="31.2">
      <c r="A219" s="85">
        <f>IF(F219&lt;&gt;"",1+MAX($A$2:A218),"")</f>
        <v>141</v>
      </c>
      <c r="B219" s="214"/>
      <c r="C219" s="88"/>
      <c r="D219" s="80" t="s">
        <v>178</v>
      </c>
      <c r="E219" s="60">
        <v>46794</v>
      </c>
      <c r="F219" s="55">
        <v>0.1</v>
      </c>
      <c r="G219" s="89">
        <f>E219*(1+F219)</f>
        <v>51473.4</v>
      </c>
      <c r="H219" s="60" t="s">
        <v>36</v>
      </c>
      <c r="I219" s="104">
        <v>7.0000000000000001E-3</v>
      </c>
      <c r="J219" s="105">
        <f>+I219*G219</f>
        <v>360.31380000000001</v>
      </c>
      <c r="K219" s="106">
        <f>'LABOR SHEET'!$C$5</f>
        <v>45</v>
      </c>
      <c r="L219" s="107">
        <f>I219*K219</f>
        <v>0.315</v>
      </c>
      <c r="M219" s="107">
        <f>K219*J219</f>
        <v>16214.120999999999</v>
      </c>
      <c r="N219" s="107">
        <v>0.45</v>
      </c>
      <c r="O219" s="107">
        <f>N219*G219</f>
        <v>23163.03</v>
      </c>
      <c r="P219" s="107">
        <f>(I219*K219)+N219</f>
        <v>0.76500000000000001</v>
      </c>
      <c r="Q219" s="131">
        <f>P219*G219</f>
        <v>39377.150999999998</v>
      </c>
      <c r="R219" s="138"/>
      <c r="S219" s="138"/>
      <c r="T219" s="138"/>
      <c r="U219" s="138"/>
      <c r="V219" s="138"/>
      <c r="W219" s="138"/>
      <c r="X219" s="138"/>
      <c r="Y219" s="138"/>
      <c r="Z219" s="138"/>
      <c r="AA219" s="138"/>
      <c r="AB219" s="138"/>
      <c r="AC219" s="138"/>
      <c r="AD219" s="138"/>
      <c r="AE219" s="138"/>
      <c r="AF219" s="138"/>
      <c r="AG219" s="138"/>
      <c r="AH219" s="138"/>
      <c r="AI219" s="138"/>
      <c r="AJ219" s="138"/>
    </row>
    <row r="220" spans="1:36" s="31" customFormat="1">
      <c r="A220" s="85"/>
      <c r="B220" s="214"/>
      <c r="C220" s="88"/>
      <c r="D220" s="80"/>
      <c r="E220" s="60"/>
      <c r="F220" s="55"/>
      <c r="G220" s="89"/>
      <c r="H220" s="60"/>
      <c r="I220" s="104"/>
      <c r="J220" s="105"/>
      <c r="K220" s="106"/>
      <c r="L220" s="107"/>
      <c r="M220" s="107"/>
      <c r="N220" s="107"/>
      <c r="O220" s="107"/>
      <c r="P220" s="107"/>
      <c r="Q220" s="131"/>
      <c r="R220" s="138"/>
      <c r="S220" s="138"/>
      <c r="T220" s="138"/>
      <c r="U220" s="138"/>
      <c r="V220" s="138"/>
      <c r="W220" s="138"/>
      <c r="X220" s="138"/>
      <c r="Y220" s="138"/>
      <c r="Z220" s="138"/>
      <c r="AA220" s="138"/>
      <c r="AB220" s="138"/>
      <c r="AC220" s="138"/>
      <c r="AD220" s="138"/>
      <c r="AE220" s="138"/>
      <c r="AF220" s="138"/>
      <c r="AG220" s="138"/>
      <c r="AH220" s="138"/>
      <c r="AI220" s="138"/>
      <c r="AJ220" s="138"/>
    </row>
    <row r="221" spans="1:36" s="31" customFormat="1">
      <c r="A221" s="85" t="str">
        <f>IF(F221&lt;&gt;"",1+MAX($A$2:A219),"")</f>
        <v/>
      </c>
      <c r="B221" s="214"/>
      <c r="C221" s="88"/>
      <c r="D221" s="97" t="s">
        <v>179</v>
      </c>
      <c r="E221" s="60"/>
      <c r="F221" s="90"/>
      <c r="G221" s="89"/>
      <c r="H221" s="60"/>
      <c r="I221" s="104"/>
      <c r="J221" s="105"/>
      <c r="K221" s="106"/>
      <c r="L221" s="107"/>
      <c r="M221" s="107"/>
      <c r="N221" s="107"/>
      <c r="O221" s="107"/>
      <c r="P221" s="107"/>
      <c r="Q221" s="131"/>
      <c r="R221" s="138"/>
      <c r="S221" s="138"/>
      <c r="T221" s="138"/>
      <c r="U221" s="138"/>
      <c r="V221" s="138"/>
      <c r="W221" s="138"/>
      <c r="X221" s="138"/>
      <c r="Y221" s="138"/>
      <c r="Z221" s="138"/>
      <c r="AA221" s="138"/>
      <c r="AB221" s="138"/>
      <c r="AC221" s="138"/>
      <c r="AD221" s="138"/>
      <c r="AE221" s="138"/>
      <c r="AF221" s="138"/>
      <c r="AG221" s="138"/>
      <c r="AH221" s="138"/>
      <c r="AI221" s="138"/>
      <c r="AJ221" s="138"/>
    </row>
    <row r="222" spans="1:36" s="31" customFormat="1">
      <c r="A222" s="85">
        <f>IF(F222&lt;&gt;"",1+MAX($A$2:A221),"")</f>
        <v>142</v>
      </c>
      <c r="B222" s="214"/>
      <c r="C222" s="88"/>
      <c r="D222" s="80" t="s">
        <v>180</v>
      </c>
      <c r="E222" s="62">
        <f>0.25*2007/27</f>
        <v>18.5833333333333</v>
      </c>
      <c r="F222" s="55">
        <v>0.1</v>
      </c>
      <c r="G222" s="89">
        <f>E222*(1+F222)</f>
        <v>20.441666666666599</v>
      </c>
      <c r="H222" s="60" t="s">
        <v>52</v>
      </c>
      <c r="I222" s="104">
        <v>0.6</v>
      </c>
      <c r="J222" s="105">
        <f>+I222*G222</f>
        <v>12.265000000000001</v>
      </c>
      <c r="K222" s="106">
        <f>'LABOR SHEET'!$C$5</f>
        <v>45</v>
      </c>
      <c r="L222" s="107">
        <f>I222*K222</f>
        <v>27</v>
      </c>
      <c r="M222" s="107">
        <f>K222*J222</f>
        <v>551.92499999999905</v>
      </c>
      <c r="N222" s="107">
        <v>65</v>
      </c>
      <c r="O222" s="107">
        <f>N222*G222</f>
        <v>1328.7083333333301</v>
      </c>
      <c r="P222" s="107">
        <f>(I222*K222)+N222</f>
        <v>92</v>
      </c>
      <c r="Q222" s="131">
        <f>P222*G222</f>
        <v>1880.63333333333</v>
      </c>
      <c r="R222" s="138"/>
      <c r="S222" s="138"/>
      <c r="T222" s="138"/>
      <c r="U222" s="138"/>
      <c r="V222" s="138"/>
      <c r="W222" s="138"/>
      <c r="X222" s="138"/>
      <c r="Y222" s="138"/>
      <c r="Z222" s="138"/>
      <c r="AA222" s="138"/>
      <c r="AB222" s="138"/>
      <c r="AC222" s="138"/>
      <c r="AD222" s="138"/>
      <c r="AE222" s="138"/>
      <c r="AF222" s="138"/>
      <c r="AG222" s="138"/>
      <c r="AH222" s="138"/>
      <c r="AI222" s="138"/>
      <c r="AJ222" s="138"/>
    </row>
    <row r="223" spans="1:36" s="31" customFormat="1">
      <c r="A223" s="85">
        <f>IF(F223&lt;&gt;"",1+MAX($A$2:A222),"")</f>
        <v>143</v>
      </c>
      <c r="B223" s="214"/>
      <c r="C223" s="88"/>
      <c r="D223" s="98" t="s">
        <v>181</v>
      </c>
      <c r="E223" s="60">
        <v>2007</v>
      </c>
      <c r="F223" s="55">
        <v>0.1</v>
      </c>
      <c r="G223" s="89">
        <f>E223*(1+F223)</f>
        <v>2207.6999999999998</v>
      </c>
      <c r="H223" s="60" t="s">
        <v>36</v>
      </c>
      <c r="I223" s="104">
        <f>0.005+0.002</f>
        <v>7.0000000000000001E-3</v>
      </c>
      <c r="J223" s="105">
        <f>+I223*G223</f>
        <v>15.453900000000001</v>
      </c>
      <c r="K223" s="106">
        <f>'LABOR SHEET'!$C$5</f>
        <v>45</v>
      </c>
      <c r="L223" s="107">
        <f>I223*K223</f>
        <v>0.315</v>
      </c>
      <c r="M223" s="107">
        <f>K223*J223</f>
        <v>695.42550000000006</v>
      </c>
      <c r="N223" s="107">
        <v>0.88</v>
      </c>
      <c r="O223" s="107">
        <f>N223*G223</f>
        <v>1942.7760000000001</v>
      </c>
      <c r="P223" s="107">
        <f>(I223*K223)+N223</f>
        <v>1.1950000000000001</v>
      </c>
      <c r="Q223" s="131">
        <f>P223*G223</f>
        <v>2638.2015000000001</v>
      </c>
      <c r="R223" s="138"/>
      <c r="S223" s="138"/>
      <c r="T223" s="138"/>
      <c r="U223" s="138"/>
      <c r="V223" s="138"/>
      <c r="W223" s="138"/>
      <c r="X223" s="138"/>
      <c r="Y223" s="138"/>
      <c r="Z223" s="138"/>
      <c r="AA223" s="138"/>
      <c r="AB223" s="138"/>
      <c r="AC223" s="138"/>
      <c r="AD223" s="138"/>
      <c r="AE223" s="138"/>
      <c r="AF223" s="138"/>
      <c r="AG223" s="138"/>
      <c r="AH223" s="138"/>
      <c r="AI223" s="138"/>
      <c r="AJ223" s="138"/>
    </row>
    <row r="224" spans="1:36" s="31" customFormat="1">
      <c r="A224" s="85">
        <f>IF(F224&lt;&gt;"",1+MAX($A$2:A223),"")</f>
        <v>144</v>
      </c>
      <c r="B224" s="214"/>
      <c r="C224" s="88"/>
      <c r="D224" s="98" t="s">
        <v>75</v>
      </c>
      <c r="E224" s="60">
        <v>2007</v>
      </c>
      <c r="F224" s="55">
        <v>0.1</v>
      </c>
      <c r="G224" s="89">
        <f>E224*(1+F224)</f>
        <v>2207.6999999999998</v>
      </c>
      <c r="H224" s="60" t="s">
        <v>36</v>
      </c>
      <c r="I224" s="104">
        <v>7.0000000000000001E-3</v>
      </c>
      <c r="J224" s="105">
        <f>+I224*G224</f>
        <v>15.453900000000001</v>
      </c>
      <c r="K224" s="106">
        <f>'LABOR SHEET'!$C$5</f>
        <v>45</v>
      </c>
      <c r="L224" s="107">
        <f>I224*K224</f>
        <v>0.315</v>
      </c>
      <c r="M224" s="107">
        <f>K224*J224</f>
        <v>695.42550000000006</v>
      </c>
      <c r="N224" s="107">
        <v>0.4</v>
      </c>
      <c r="O224" s="107">
        <f>N224*G224</f>
        <v>883.08</v>
      </c>
      <c r="P224" s="107">
        <f>(I224*K224)+N224</f>
        <v>0.71499999999999997</v>
      </c>
      <c r="Q224" s="131">
        <f>P224*G224</f>
        <v>1578.5055</v>
      </c>
      <c r="R224" s="138"/>
      <c r="S224" s="138"/>
      <c r="T224" s="138"/>
      <c r="U224" s="138"/>
      <c r="V224" s="138"/>
      <c r="W224" s="138"/>
      <c r="X224" s="138"/>
      <c r="Y224" s="138"/>
      <c r="Z224" s="138"/>
      <c r="AA224" s="138"/>
      <c r="AB224" s="138"/>
      <c r="AC224" s="138"/>
      <c r="AD224" s="138"/>
      <c r="AE224" s="138"/>
      <c r="AF224" s="138"/>
      <c r="AG224" s="138"/>
      <c r="AH224" s="138"/>
      <c r="AI224" s="138"/>
      <c r="AJ224" s="138"/>
    </row>
    <row r="225" spans="1:36" s="31" customFormat="1">
      <c r="A225" s="85"/>
      <c r="B225" s="214"/>
      <c r="C225" s="88"/>
      <c r="D225" s="98"/>
      <c r="E225" s="60"/>
      <c r="F225" s="55"/>
      <c r="G225" s="89"/>
      <c r="H225" s="60"/>
      <c r="I225" s="104"/>
      <c r="J225" s="105"/>
      <c r="K225" s="106"/>
      <c r="L225" s="107"/>
      <c r="M225" s="107"/>
      <c r="N225" s="107"/>
      <c r="O225" s="107"/>
      <c r="P225" s="107"/>
      <c r="Q225" s="131"/>
      <c r="R225" s="138"/>
      <c r="S225" s="138"/>
      <c r="T225" s="138"/>
      <c r="U225" s="138"/>
      <c r="V225" s="138"/>
      <c r="W225" s="138"/>
      <c r="X225" s="138"/>
      <c r="Y225" s="138"/>
      <c r="Z225" s="138"/>
      <c r="AA225" s="138"/>
      <c r="AB225" s="138"/>
      <c r="AC225" s="138"/>
      <c r="AD225" s="138"/>
      <c r="AE225" s="138"/>
      <c r="AF225" s="138"/>
      <c r="AG225" s="138"/>
      <c r="AH225" s="138"/>
      <c r="AI225" s="138"/>
      <c r="AJ225" s="138"/>
    </row>
    <row r="226" spans="1:36" s="31" customFormat="1">
      <c r="A226" s="85" t="str">
        <f>IF(F226&lt;&gt;"",1+MAX($A$2:A224),"")</f>
        <v/>
      </c>
      <c r="B226" s="214"/>
      <c r="C226" s="88"/>
      <c r="D226" s="97" t="s">
        <v>182</v>
      </c>
      <c r="E226" s="60"/>
      <c r="F226" s="90"/>
      <c r="G226" s="89"/>
      <c r="H226" s="60"/>
      <c r="I226" s="104"/>
      <c r="J226" s="105"/>
      <c r="K226" s="106"/>
      <c r="L226" s="107"/>
      <c r="M226" s="107"/>
      <c r="N226" s="107"/>
      <c r="O226" s="107"/>
      <c r="P226" s="107"/>
      <c r="Q226" s="131"/>
      <c r="R226" s="138"/>
      <c r="S226" s="138"/>
      <c r="T226" s="138"/>
      <c r="U226" s="138"/>
      <c r="V226" s="138"/>
      <c r="W226" s="138"/>
      <c r="X226" s="138"/>
      <c r="Y226" s="138"/>
      <c r="Z226" s="138"/>
      <c r="AA226" s="138"/>
      <c r="AB226" s="138"/>
      <c r="AC226" s="138"/>
      <c r="AD226" s="138"/>
      <c r="AE226" s="138"/>
      <c r="AF226" s="138"/>
      <c r="AG226" s="138"/>
      <c r="AH226" s="138"/>
      <c r="AI226" s="138"/>
      <c r="AJ226" s="138"/>
    </row>
    <row r="227" spans="1:36" s="31" customFormat="1">
      <c r="A227" s="85">
        <f>IF(F227&lt;&gt;"",1+MAX($A$2:A226),"")</f>
        <v>145</v>
      </c>
      <c r="B227" s="214"/>
      <c r="C227" s="88"/>
      <c r="D227" s="80" t="s">
        <v>183</v>
      </c>
      <c r="E227" s="62">
        <f>0.34*2304/27</f>
        <v>29.0133333333333</v>
      </c>
      <c r="F227" s="55">
        <v>0.1</v>
      </c>
      <c r="G227" s="89">
        <f>E227*(1+F227)</f>
        <v>31.914666666666601</v>
      </c>
      <c r="H227" s="60" t="s">
        <v>52</v>
      </c>
      <c r="I227" s="104">
        <v>1</v>
      </c>
      <c r="J227" s="105">
        <f>+I227*G227</f>
        <v>31.914666666666601</v>
      </c>
      <c r="K227" s="106">
        <f>'LABOR SHEET'!$C$5</f>
        <v>45</v>
      </c>
      <c r="L227" s="107">
        <f>I227*K227</f>
        <v>45</v>
      </c>
      <c r="M227" s="107">
        <f>K227*J227</f>
        <v>1436.16</v>
      </c>
      <c r="N227" s="107">
        <v>76</v>
      </c>
      <c r="O227" s="107">
        <f>N227*G227</f>
        <v>2425.5146666666601</v>
      </c>
      <c r="P227" s="107">
        <f>(I227*K227)+N227</f>
        <v>121</v>
      </c>
      <c r="Q227" s="131">
        <f>P227*G227</f>
        <v>3861.67466666666</v>
      </c>
      <c r="R227" s="138"/>
      <c r="S227" s="138"/>
      <c r="T227" s="138"/>
      <c r="U227" s="138"/>
      <c r="V227" s="138"/>
      <c r="W227" s="138"/>
      <c r="X227" s="138"/>
      <c r="Y227" s="138"/>
      <c r="Z227" s="138"/>
      <c r="AA227" s="138"/>
      <c r="AB227" s="138"/>
      <c r="AC227" s="138"/>
      <c r="AD227" s="138"/>
      <c r="AE227" s="138"/>
      <c r="AF227" s="138"/>
      <c r="AG227" s="138"/>
      <c r="AH227" s="138"/>
      <c r="AI227" s="138"/>
      <c r="AJ227" s="138"/>
    </row>
    <row r="228" spans="1:36" s="31" customFormat="1">
      <c r="A228" s="85">
        <f>IF(F228&lt;&gt;"",1+MAX($A$2:A227),"")</f>
        <v>146</v>
      </c>
      <c r="B228" s="214"/>
      <c r="C228" s="88"/>
      <c r="D228" s="98" t="s">
        <v>184</v>
      </c>
      <c r="E228" s="60">
        <v>2304</v>
      </c>
      <c r="F228" s="55">
        <v>0.1</v>
      </c>
      <c r="G228" s="89">
        <f>E228*(1+F228)</f>
        <v>2534.4</v>
      </c>
      <c r="H228" s="60" t="s">
        <v>36</v>
      </c>
      <c r="I228" s="104">
        <v>6.0000000000000001E-3</v>
      </c>
      <c r="J228" s="105">
        <f>+I228*G228</f>
        <v>15.2064</v>
      </c>
      <c r="K228" s="106">
        <f>'LABOR SHEET'!$C$5</f>
        <v>45</v>
      </c>
      <c r="L228" s="107">
        <f>I228*K228</f>
        <v>0.27</v>
      </c>
      <c r="M228" s="107">
        <f>K228*J228</f>
        <v>684.28800000000001</v>
      </c>
      <c r="N228" s="107">
        <v>0.52</v>
      </c>
      <c r="O228" s="107">
        <f>N228*G228</f>
        <v>1317.8879999999999</v>
      </c>
      <c r="P228" s="107">
        <f>(I228*K228)+N228</f>
        <v>0.79</v>
      </c>
      <c r="Q228" s="131">
        <f>P228*G228</f>
        <v>2002.1759999999999</v>
      </c>
      <c r="R228" s="138"/>
      <c r="S228" s="138"/>
      <c r="T228" s="138"/>
      <c r="U228" s="138"/>
      <c r="V228" s="138"/>
      <c r="W228" s="138"/>
      <c r="X228" s="138"/>
      <c r="Y228" s="138"/>
      <c r="Z228" s="138"/>
      <c r="AA228" s="138"/>
      <c r="AB228" s="138"/>
      <c r="AC228" s="138"/>
      <c r="AD228" s="138"/>
      <c r="AE228" s="138"/>
      <c r="AF228" s="138"/>
      <c r="AG228" s="138"/>
      <c r="AH228" s="138"/>
      <c r="AI228" s="138"/>
      <c r="AJ228" s="138"/>
    </row>
    <row r="229" spans="1:36" s="31" customFormat="1">
      <c r="A229" s="85">
        <f>IF(F229&lt;&gt;"",1+MAX($A$2:A228),"")</f>
        <v>147</v>
      </c>
      <c r="B229" s="214"/>
      <c r="C229" s="88"/>
      <c r="D229" s="98" t="s">
        <v>185</v>
      </c>
      <c r="E229" s="60">
        <v>2304</v>
      </c>
      <c r="F229" s="55">
        <v>0.1</v>
      </c>
      <c r="G229" s="89">
        <f>E229*(1+F229)</f>
        <v>2534.4</v>
      </c>
      <c r="H229" s="60" t="s">
        <v>36</v>
      </c>
      <c r="I229" s="104">
        <v>7.0000000000000001E-3</v>
      </c>
      <c r="J229" s="105">
        <f>+I229*G229</f>
        <v>17.7408</v>
      </c>
      <c r="K229" s="106">
        <f>'LABOR SHEET'!$C$5</f>
        <v>45</v>
      </c>
      <c r="L229" s="107">
        <f>I229*K229</f>
        <v>0.315</v>
      </c>
      <c r="M229" s="107">
        <f>K229*J229</f>
        <v>798.33600000000001</v>
      </c>
      <c r="N229" s="107">
        <v>0.4</v>
      </c>
      <c r="O229" s="107">
        <f>N229*G229</f>
        <v>1013.76</v>
      </c>
      <c r="P229" s="107">
        <f>(I229*K229)+N229</f>
        <v>0.71499999999999997</v>
      </c>
      <c r="Q229" s="131">
        <f>P229*G229</f>
        <v>1812.096</v>
      </c>
      <c r="R229" s="138"/>
      <c r="S229" s="138"/>
      <c r="T229" s="138"/>
      <c r="U229" s="138"/>
      <c r="V229" s="138"/>
      <c r="W229" s="138"/>
      <c r="X229" s="138"/>
      <c r="Y229" s="138"/>
      <c r="Z229" s="138"/>
      <c r="AA229" s="138"/>
      <c r="AB229" s="138"/>
      <c r="AC229" s="138"/>
      <c r="AD229" s="138"/>
      <c r="AE229" s="138"/>
      <c r="AF229" s="138"/>
      <c r="AG229" s="138"/>
      <c r="AH229" s="138"/>
      <c r="AI229" s="138"/>
      <c r="AJ229" s="138"/>
    </row>
    <row r="230" spans="1:36" s="31" customFormat="1">
      <c r="A230" s="85"/>
      <c r="B230" s="214"/>
      <c r="C230" s="88"/>
      <c r="D230" s="98"/>
      <c r="E230" s="60"/>
      <c r="F230" s="55"/>
      <c r="G230" s="89"/>
      <c r="H230" s="60"/>
      <c r="I230" s="104"/>
      <c r="J230" s="105"/>
      <c r="K230" s="106"/>
      <c r="L230" s="107"/>
      <c r="M230" s="107"/>
      <c r="N230" s="107"/>
      <c r="O230" s="107"/>
      <c r="P230" s="107"/>
      <c r="Q230" s="131"/>
      <c r="R230" s="138"/>
      <c r="S230" s="138"/>
      <c r="T230" s="138"/>
      <c r="U230" s="138"/>
      <c r="V230" s="138"/>
      <c r="W230" s="138"/>
      <c r="X230" s="138"/>
      <c r="Y230" s="138"/>
      <c r="Z230" s="138"/>
      <c r="AA230" s="138"/>
      <c r="AB230" s="138"/>
      <c r="AC230" s="138"/>
      <c r="AD230" s="138"/>
      <c r="AE230" s="138"/>
      <c r="AF230" s="138"/>
      <c r="AG230" s="138"/>
      <c r="AH230" s="138"/>
      <c r="AI230" s="138"/>
      <c r="AJ230" s="138"/>
    </row>
    <row r="231" spans="1:36" s="31" customFormat="1">
      <c r="A231" s="85" t="str">
        <f>IF(F231&lt;&gt;"",1+MAX($A$2:A229),"")</f>
        <v/>
      </c>
      <c r="B231" s="214"/>
      <c r="C231" s="88"/>
      <c r="D231" s="97" t="s">
        <v>186</v>
      </c>
      <c r="E231" s="60"/>
      <c r="F231" s="90"/>
      <c r="G231" s="89"/>
      <c r="H231" s="60"/>
      <c r="I231" s="104"/>
      <c r="J231" s="105"/>
      <c r="K231" s="106"/>
      <c r="L231" s="107"/>
      <c r="M231" s="107"/>
      <c r="N231" s="107"/>
      <c r="O231" s="107"/>
      <c r="P231" s="107"/>
      <c r="Q231" s="131"/>
      <c r="R231" s="138"/>
      <c r="S231" s="138"/>
      <c r="T231" s="138"/>
      <c r="U231" s="138"/>
      <c r="V231" s="138"/>
      <c r="W231" s="138"/>
      <c r="X231" s="138"/>
      <c r="Y231" s="138"/>
      <c r="Z231" s="138"/>
      <c r="AA231" s="138"/>
      <c r="AB231" s="138"/>
      <c r="AC231" s="138"/>
      <c r="AD231" s="138"/>
      <c r="AE231" s="138"/>
      <c r="AF231" s="138"/>
      <c r="AG231" s="138"/>
      <c r="AH231" s="138"/>
      <c r="AI231" s="138"/>
      <c r="AJ231" s="138"/>
    </row>
    <row r="232" spans="1:36" s="31" customFormat="1" ht="31.2">
      <c r="A232" s="85">
        <f>IF(F232&lt;&gt;"",1+MAX($A$2:A231),"")</f>
        <v>148</v>
      </c>
      <c r="B232" s="214"/>
      <c r="C232" s="88"/>
      <c r="D232" s="80" t="s">
        <v>187</v>
      </c>
      <c r="E232" s="60">
        <v>1176</v>
      </c>
      <c r="F232" s="61">
        <v>0.05</v>
      </c>
      <c r="G232" s="89">
        <f>E232*(1+F232)</f>
        <v>1234.8</v>
      </c>
      <c r="H232" s="60" t="s">
        <v>38</v>
      </c>
      <c r="I232" s="104">
        <v>0.03</v>
      </c>
      <c r="J232" s="105">
        <f>+I232*G232</f>
        <v>37.043999999999997</v>
      </c>
      <c r="K232" s="106">
        <f>'LABOR SHEET'!$C$5</f>
        <v>45</v>
      </c>
      <c r="L232" s="107">
        <f>I232*K232</f>
        <v>1.35</v>
      </c>
      <c r="M232" s="107">
        <f>K232*J232</f>
        <v>1666.98</v>
      </c>
      <c r="N232" s="107">
        <v>2.7</v>
      </c>
      <c r="O232" s="107">
        <f>N232*G232</f>
        <v>3333.96</v>
      </c>
      <c r="P232" s="107">
        <f>(I232*K232)+N232</f>
        <v>4.05</v>
      </c>
      <c r="Q232" s="131">
        <f>P232*G232</f>
        <v>5000.9399999999996</v>
      </c>
      <c r="R232" s="138"/>
      <c r="S232" s="138"/>
      <c r="T232" s="138"/>
      <c r="U232" s="138"/>
      <c r="V232" s="138"/>
      <c r="W232" s="138"/>
      <c r="X232" s="138"/>
      <c r="Y232" s="138"/>
      <c r="Z232" s="138"/>
      <c r="AA232" s="138"/>
      <c r="AB232" s="138"/>
      <c r="AC232" s="138"/>
      <c r="AD232" s="138"/>
      <c r="AE232" s="138"/>
      <c r="AF232" s="138"/>
      <c r="AG232" s="138"/>
      <c r="AH232" s="138"/>
      <c r="AI232" s="138"/>
      <c r="AJ232" s="138"/>
    </row>
    <row r="233" spans="1:36" s="31" customFormat="1">
      <c r="A233" s="85"/>
      <c r="B233" s="214"/>
      <c r="C233" s="88"/>
      <c r="D233" s="80"/>
      <c r="E233" s="60"/>
      <c r="F233" s="61"/>
      <c r="G233" s="89"/>
      <c r="H233" s="60"/>
      <c r="I233" s="104"/>
      <c r="J233" s="105"/>
      <c r="K233" s="106"/>
      <c r="L233" s="107"/>
      <c r="M233" s="107"/>
      <c r="N233" s="107"/>
      <c r="O233" s="107"/>
      <c r="P233" s="107"/>
      <c r="Q233" s="131"/>
      <c r="R233" s="138"/>
      <c r="S233" s="138"/>
      <c r="T233" s="138"/>
      <c r="U233" s="138"/>
      <c r="V233" s="138"/>
      <c r="W233" s="138"/>
      <c r="X233" s="138"/>
      <c r="Y233" s="138"/>
      <c r="Z233" s="138"/>
      <c r="AA233" s="138"/>
      <c r="AB233" s="138"/>
      <c r="AC233" s="138"/>
      <c r="AD233" s="138"/>
      <c r="AE233" s="138"/>
      <c r="AF233" s="138"/>
      <c r="AG233" s="138"/>
      <c r="AH233" s="138"/>
      <c r="AI233" s="138"/>
      <c r="AJ233" s="138"/>
    </row>
    <row r="234" spans="1:36" s="31" customFormat="1">
      <c r="A234" s="85" t="str">
        <f>IF(F234&lt;&gt;"",1+MAX($A$2:A232),"")</f>
        <v/>
      </c>
      <c r="B234" s="214"/>
      <c r="C234" s="88"/>
      <c r="D234" s="97" t="s">
        <v>188</v>
      </c>
      <c r="E234" s="60"/>
      <c r="F234" s="90"/>
      <c r="G234" s="89"/>
      <c r="H234" s="60"/>
      <c r="I234" s="104"/>
      <c r="J234" s="105"/>
      <c r="K234" s="106"/>
      <c r="L234" s="107"/>
      <c r="M234" s="107"/>
      <c r="N234" s="107"/>
      <c r="O234" s="107"/>
      <c r="P234" s="107"/>
      <c r="Q234" s="131"/>
      <c r="R234" s="138"/>
      <c r="S234" s="138"/>
      <c r="T234" s="138"/>
      <c r="U234" s="138"/>
      <c r="V234" s="138"/>
      <c r="W234" s="138"/>
      <c r="X234" s="138"/>
      <c r="Y234" s="138"/>
      <c r="Z234" s="138"/>
      <c r="AA234" s="138"/>
      <c r="AB234" s="138"/>
      <c r="AC234" s="138"/>
      <c r="AD234" s="138"/>
      <c r="AE234" s="138"/>
      <c r="AF234" s="138"/>
      <c r="AG234" s="138"/>
      <c r="AH234" s="138"/>
      <c r="AI234" s="138"/>
      <c r="AJ234" s="138"/>
    </row>
    <row r="235" spans="1:36" s="31" customFormat="1">
      <c r="A235" s="85">
        <f>IF(F235&lt;&gt;"",1+MAX($A$2:A234),"")</f>
        <v>149</v>
      </c>
      <c r="B235" s="214"/>
      <c r="C235" s="88"/>
      <c r="D235" s="80" t="s">
        <v>189</v>
      </c>
      <c r="E235" s="60">
        <v>5898</v>
      </c>
      <c r="F235" s="55">
        <v>0.1</v>
      </c>
      <c r="G235" s="89">
        <f>E235*(1+F235)</f>
        <v>6487.8</v>
      </c>
      <c r="H235" s="60" t="s">
        <v>36</v>
      </c>
      <c r="I235" s="104">
        <v>1.7999999999999999E-2</v>
      </c>
      <c r="J235" s="105">
        <f>+I235*G235</f>
        <v>116.7804</v>
      </c>
      <c r="K235" s="106">
        <f>'LABOR SHEET'!$C$5</f>
        <v>45</v>
      </c>
      <c r="L235" s="107">
        <f>I235*K235</f>
        <v>0.81</v>
      </c>
      <c r="M235" s="107">
        <f>K235*J235</f>
        <v>5255.1180000000004</v>
      </c>
      <c r="N235" s="107">
        <v>0.22</v>
      </c>
      <c r="O235" s="107">
        <f>N235*G235</f>
        <v>1427.316</v>
      </c>
      <c r="P235" s="107">
        <f>(I235*K235)+N235</f>
        <v>1.03</v>
      </c>
      <c r="Q235" s="131">
        <f>P235*G235</f>
        <v>6682.4340000000002</v>
      </c>
      <c r="R235" s="138"/>
      <c r="S235" s="138"/>
      <c r="T235" s="138"/>
      <c r="U235" s="138"/>
      <c r="V235" s="138"/>
      <c r="W235" s="138"/>
      <c r="X235" s="138"/>
      <c r="Y235" s="138"/>
      <c r="Z235" s="138"/>
      <c r="AA235" s="138"/>
      <c r="AB235" s="138"/>
      <c r="AC235" s="138"/>
      <c r="AD235" s="138"/>
      <c r="AE235" s="138"/>
      <c r="AF235" s="138"/>
      <c r="AG235" s="138"/>
      <c r="AH235" s="138"/>
      <c r="AI235" s="138"/>
      <c r="AJ235" s="138"/>
    </row>
    <row r="236" spans="1:36" s="31" customFormat="1">
      <c r="A236" s="85">
        <f>IF(F236&lt;&gt;"",1+MAX($A$2:A235),"")</f>
        <v>150</v>
      </c>
      <c r="B236" s="214"/>
      <c r="C236" s="88"/>
      <c r="D236" s="98" t="s">
        <v>190</v>
      </c>
      <c r="E236" s="62">
        <f>1*5898/27</f>
        <v>218.444444444444</v>
      </c>
      <c r="F236" s="55">
        <v>0</v>
      </c>
      <c r="G236" s="89">
        <f t="shared" ref="G236:G237" si="174">E236*(1+F236)</f>
        <v>218.444444444444</v>
      </c>
      <c r="H236" s="60" t="s">
        <v>52</v>
      </c>
      <c r="I236" s="104">
        <v>0.22</v>
      </c>
      <c r="J236" s="105">
        <f>+I236*G236</f>
        <v>48.057777777777702</v>
      </c>
      <c r="K236" s="106">
        <f>'LABOR SHEET'!$C$4</f>
        <v>45</v>
      </c>
      <c r="L236" s="107">
        <f>I236*K236</f>
        <v>9.9</v>
      </c>
      <c r="M236" s="107">
        <f>K236*J236</f>
        <v>2162.6</v>
      </c>
      <c r="N236" s="107">
        <v>5</v>
      </c>
      <c r="O236" s="107">
        <f>N236*G236</f>
        <v>1092.2222222222199</v>
      </c>
      <c r="P236" s="107">
        <f>(I236*K236)+N236</f>
        <v>14.9</v>
      </c>
      <c r="Q236" s="131">
        <f>P236*G236</f>
        <v>3254.8222222222198</v>
      </c>
      <c r="R236" s="138"/>
      <c r="S236" s="138"/>
      <c r="T236" s="138"/>
      <c r="U236" s="138"/>
      <c r="V236" s="138"/>
      <c r="W236" s="138"/>
      <c r="X236" s="138"/>
      <c r="Y236" s="138"/>
      <c r="Z236" s="138"/>
      <c r="AA236" s="138"/>
      <c r="AB236" s="138"/>
      <c r="AC236" s="138"/>
      <c r="AD236" s="138"/>
      <c r="AE236" s="138"/>
      <c r="AF236" s="138"/>
      <c r="AG236" s="138"/>
      <c r="AH236" s="138"/>
      <c r="AI236" s="138"/>
      <c r="AJ236" s="138"/>
    </row>
    <row r="237" spans="1:36" s="31" customFormat="1">
      <c r="A237" s="85">
        <f>IF(F237&lt;&gt;"",1+MAX($A$2:A236),"")</f>
        <v>151</v>
      </c>
      <c r="B237" s="214"/>
      <c r="C237" s="88"/>
      <c r="D237" s="98" t="s">
        <v>191</v>
      </c>
      <c r="E237" s="62">
        <f>1*5898/27</f>
        <v>218.444444444444</v>
      </c>
      <c r="F237" s="55">
        <v>0.1</v>
      </c>
      <c r="G237" s="89">
        <f t="shared" si="174"/>
        <v>240.28888888888901</v>
      </c>
      <c r="H237" s="60" t="s">
        <v>52</v>
      </c>
      <c r="I237" s="104">
        <v>0.72</v>
      </c>
      <c r="J237" s="105">
        <f t="shared" ref="J237" si="175">+I237*G237</f>
        <v>173.00800000000001</v>
      </c>
      <c r="K237" s="106">
        <f>'LABOR SHEET'!$C$5</f>
        <v>45</v>
      </c>
      <c r="L237" s="107">
        <f t="shared" ref="L237" si="176">I237*K237</f>
        <v>32.4</v>
      </c>
      <c r="M237" s="107">
        <f t="shared" ref="M237" si="177">K237*J237</f>
        <v>7785.36</v>
      </c>
      <c r="N237" s="107">
        <v>42</v>
      </c>
      <c r="O237" s="107">
        <f t="shared" ref="O237" si="178">N237*G237</f>
        <v>10092.1333333333</v>
      </c>
      <c r="P237" s="107">
        <f t="shared" ref="P237" si="179">(I237*K237)+N237</f>
        <v>74.400000000000006</v>
      </c>
      <c r="Q237" s="131">
        <f t="shared" ref="Q237" si="180">P237*G237</f>
        <v>17877.493333333299</v>
      </c>
      <c r="R237" s="138"/>
      <c r="S237" s="138"/>
      <c r="T237" s="138"/>
      <c r="U237" s="138"/>
      <c r="V237" s="138"/>
      <c r="W237" s="138"/>
      <c r="X237" s="138"/>
      <c r="Y237" s="138"/>
      <c r="Z237" s="138"/>
      <c r="AA237" s="138"/>
      <c r="AB237" s="138"/>
      <c r="AC237" s="138"/>
      <c r="AD237" s="138"/>
      <c r="AE237" s="138"/>
      <c r="AF237" s="138"/>
      <c r="AG237" s="138"/>
      <c r="AH237" s="138"/>
      <c r="AI237" s="138"/>
      <c r="AJ237" s="138"/>
    </row>
    <row r="238" spans="1:36" s="31" customFormat="1">
      <c r="A238" s="85"/>
      <c r="B238" s="214"/>
      <c r="C238" s="88"/>
      <c r="D238" s="98"/>
      <c r="E238" s="62"/>
      <c r="F238" s="55"/>
      <c r="G238" s="89"/>
      <c r="H238" s="60"/>
      <c r="I238" s="104"/>
      <c r="J238" s="105"/>
      <c r="K238" s="106"/>
      <c r="L238" s="107"/>
      <c r="M238" s="107"/>
      <c r="N238" s="107"/>
      <c r="O238" s="107"/>
      <c r="P238" s="107"/>
      <c r="Q238" s="131"/>
      <c r="R238" s="138"/>
      <c r="S238" s="138"/>
      <c r="T238" s="138"/>
      <c r="U238" s="138"/>
      <c r="V238" s="138"/>
      <c r="W238" s="138"/>
      <c r="X238" s="138"/>
      <c r="Y238" s="138"/>
      <c r="Z238" s="138"/>
      <c r="AA238" s="138"/>
      <c r="AB238" s="138"/>
      <c r="AC238" s="138"/>
      <c r="AD238" s="138"/>
      <c r="AE238" s="138"/>
      <c r="AF238" s="138"/>
      <c r="AG238" s="138"/>
      <c r="AH238" s="138"/>
      <c r="AI238" s="138"/>
      <c r="AJ238" s="138"/>
    </row>
    <row r="239" spans="1:36" s="31" customFormat="1">
      <c r="A239" s="85" t="str">
        <f>IF(F239&lt;&gt;"",1+MAX($A$2:A237),"")</f>
        <v/>
      </c>
      <c r="B239" s="214"/>
      <c r="C239" s="88"/>
      <c r="D239" s="97" t="s">
        <v>192</v>
      </c>
      <c r="E239" s="60"/>
      <c r="F239" s="90"/>
      <c r="G239" s="89"/>
      <c r="H239" s="60"/>
      <c r="I239" s="104"/>
      <c r="J239" s="105"/>
      <c r="K239" s="106"/>
      <c r="L239" s="107"/>
      <c r="M239" s="107"/>
      <c r="N239" s="107"/>
      <c r="O239" s="107"/>
      <c r="P239" s="107"/>
      <c r="Q239" s="131"/>
      <c r="R239" s="138"/>
      <c r="S239" s="138"/>
      <c r="T239" s="138"/>
      <c r="U239" s="138"/>
      <c r="V239" s="138"/>
      <c r="W239" s="138"/>
      <c r="X239" s="138"/>
      <c r="Y239" s="138"/>
      <c r="Z239" s="138"/>
      <c r="AA239" s="138"/>
      <c r="AB239" s="138"/>
      <c r="AC239" s="138"/>
      <c r="AD239" s="138"/>
      <c r="AE239" s="138"/>
      <c r="AF239" s="138"/>
      <c r="AG239" s="138"/>
      <c r="AH239" s="138"/>
      <c r="AI239" s="138"/>
      <c r="AJ239" s="138"/>
    </row>
    <row r="240" spans="1:36" s="31" customFormat="1">
      <c r="A240" s="85">
        <f>IF(F240&lt;&gt;"",1+MAX($A$2:A239),"")</f>
        <v>152</v>
      </c>
      <c r="B240" s="214"/>
      <c r="C240" s="88"/>
      <c r="D240" s="78" t="s">
        <v>193</v>
      </c>
      <c r="E240" s="62">
        <f>3*203/27</f>
        <v>22.5555555555556</v>
      </c>
      <c r="F240" s="55">
        <v>0.1</v>
      </c>
      <c r="G240" s="89">
        <f t="shared" ref="G240" si="181">E240*(1+F240)</f>
        <v>24.811111111111099</v>
      </c>
      <c r="H240" s="60" t="s">
        <v>52</v>
      </c>
      <c r="I240" s="104">
        <v>0.72</v>
      </c>
      <c r="J240" s="105">
        <f>+I240*G240</f>
        <v>17.864000000000001</v>
      </c>
      <c r="K240" s="106">
        <f>'LABOR SHEET'!$C$5</f>
        <v>45</v>
      </c>
      <c r="L240" s="107">
        <f>I240*K240</f>
        <v>32.4</v>
      </c>
      <c r="M240" s="107">
        <f>K240*J240</f>
        <v>803.88</v>
      </c>
      <c r="N240" s="107">
        <v>42</v>
      </c>
      <c r="O240" s="107">
        <f>N240*G240</f>
        <v>1042.06666666667</v>
      </c>
      <c r="P240" s="107">
        <f>(I240*K240)+N240</f>
        <v>74.400000000000006</v>
      </c>
      <c r="Q240" s="131">
        <f>P240*G240</f>
        <v>1845.9466666666699</v>
      </c>
      <c r="R240" s="138"/>
      <c r="S240" s="138"/>
      <c r="T240" s="138"/>
      <c r="U240" s="138"/>
      <c r="V240" s="138"/>
      <c r="W240" s="138"/>
      <c r="X240" s="138"/>
      <c r="Y240" s="138"/>
      <c r="Z240" s="138"/>
      <c r="AA240" s="138"/>
      <c r="AB240" s="138"/>
      <c r="AC240" s="138"/>
      <c r="AD240" s="138"/>
      <c r="AE240" s="138"/>
      <c r="AF240" s="138"/>
      <c r="AG240" s="138"/>
      <c r="AH240" s="138"/>
      <c r="AI240" s="138"/>
      <c r="AJ240" s="138"/>
    </row>
    <row r="241" spans="1:36" s="31" customFormat="1">
      <c r="A241" s="85"/>
      <c r="B241" s="214"/>
      <c r="C241" s="88"/>
      <c r="D241" s="78"/>
      <c r="E241" s="62"/>
      <c r="F241" s="55"/>
      <c r="G241" s="89"/>
      <c r="H241" s="60"/>
      <c r="I241" s="104"/>
      <c r="J241" s="105"/>
      <c r="K241" s="106"/>
      <c r="L241" s="107"/>
      <c r="M241" s="107"/>
      <c r="N241" s="107"/>
      <c r="O241" s="107"/>
      <c r="P241" s="107"/>
      <c r="Q241" s="131"/>
      <c r="R241" s="138"/>
      <c r="S241" s="138"/>
      <c r="T241" s="138"/>
      <c r="U241" s="138"/>
      <c r="V241" s="138"/>
      <c r="W241" s="138"/>
      <c r="X241" s="138"/>
      <c r="Y241" s="138"/>
      <c r="Z241" s="138"/>
      <c r="AA241" s="138"/>
      <c r="AB241" s="138"/>
      <c r="AC241" s="138"/>
      <c r="AD241" s="138"/>
      <c r="AE241" s="138"/>
      <c r="AF241" s="138"/>
      <c r="AG241" s="138"/>
      <c r="AH241" s="138"/>
      <c r="AI241" s="138"/>
      <c r="AJ241" s="138"/>
    </row>
    <row r="242" spans="1:36" s="31" customFormat="1">
      <c r="A242" s="85" t="str">
        <f>IF(F242&lt;&gt;"",1+MAX($A$2:A240),"")</f>
        <v/>
      </c>
      <c r="B242" s="214"/>
      <c r="C242" s="88"/>
      <c r="D242" s="87" t="s">
        <v>194</v>
      </c>
      <c r="E242" s="60"/>
      <c r="F242" s="90"/>
      <c r="G242" s="89"/>
      <c r="H242" s="60"/>
      <c r="I242" s="104"/>
      <c r="J242" s="105"/>
      <c r="K242" s="106"/>
      <c r="L242" s="107"/>
      <c r="M242" s="107"/>
      <c r="N242" s="107"/>
      <c r="O242" s="107"/>
      <c r="P242" s="107"/>
      <c r="Q242" s="131"/>
      <c r="R242" s="138"/>
      <c r="S242" s="138"/>
      <c r="T242" s="138"/>
      <c r="U242" s="138"/>
      <c r="V242" s="138"/>
      <c r="W242" s="138"/>
      <c r="X242" s="138"/>
      <c r="Y242" s="138"/>
      <c r="Z242" s="138"/>
      <c r="AA242" s="138"/>
      <c r="AB242" s="138"/>
      <c r="AC242" s="138"/>
      <c r="AD242" s="138"/>
      <c r="AE242" s="138"/>
      <c r="AF242" s="138"/>
      <c r="AG242" s="138"/>
      <c r="AH242" s="138"/>
      <c r="AI242" s="138"/>
      <c r="AJ242" s="138"/>
    </row>
    <row r="243" spans="1:36" s="31" customFormat="1">
      <c r="A243" s="85">
        <f>IF(F243&lt;&gt;"",1+MAX($A$2:A242),"")</f>
        <v>153</v>
      </c>
      <c r="B243" s="214"/>
      <c r="C243" s="88"/>
      <c r="D243" s="78" t="s">
        <v>195</v>
      </c>
      <c r="E243" s="60">
        <v>700</v>
      </c>
      <c r="F243" s="61">
        <v>0.05</v>
      </c>
      <c r="G243" s="89">
        <f t="shared" ref="G243:G247" si="182">E243*(1+F243)</f>
        <v>735</v>
      </c>
      <c r="H243" s="60" t="s">
        <v>38</v>
      </c>
      <c r="I243" s="104">
        <v>1.7999999999999999E-2</v>
      </c>
      <c r="J243" s="105">
        <f t="shared" ref="J243:J247" si="183">+I243*G243</f>
        <v>13.23</v>
      </c>
      <c r="K243" s="106">
        <f>'LABOR SHEET'!$C$5</f>
        <v>45</v>
      </c>
      <c r="L243" s="107">
        <f t="shared" ref="L243:L247" si="184">I243*K243</f>
        <v>0.81</v>
      </c>
      <c r="M243" s="107">
        <f t="shared" ref="M243:M247" si="185">K243*J243</f>
        <v>595.35</v>
      </c>
      <c r="N243" s="107">
        <v>4</v>
      </c>
      <c r="O243" s="107">
        <f t="shared" ref="O243:O247" si="186">N243*G243</f>
        <v>2940</v>
      </c>
      <c r="P243" s="107">
        <f t="shared" ref="P243:P247" si="187">(I243*K243)+N243</f>
        <v>4.8099999999999996</v>
      </c>
      <c r="Q243" s="131">
        <f t="shared" ref="Q243:Q247" si="188">P243*G243</f>
        <v>3535.35</v>
      </c>
      <c r="R243" s="138"/>
      <c r="S243" s="138"/>
      <c r="T243" s="138"/>
      <c r="U243" s="138"/>
      <c r="V243" s="138"/>
      <c r="W243" s="138"/>
      <c r="X243" s="138"/>
      <c r="Y243" s="138"/>
      <c r="Z243" s="138"/>
      <c r="AA243" s="138"/>
      <c r="AB243" s="138"/>
      <c r="AC243" s="138"/>
      <c r="AD243" s="138"/>
      <c r="AE243" s="138"/>
      <c r="AF243" s="138"/>
      <c r="AG243" s="138"/>
      <c r="AH243" s="138"/>
      <c r="AI243" s="138"/>
      <c r="AJ243" s="138"/>
    </row>
    <row r="244" spans="1:36" s="31" customFormat="1">
      <c r="A244" s="85">
        <f>IF(F244&lt;&gt;"",1+MAX($A$2:A243),"")</f>
        <v>154</v>
      </c>
      <c r="B244" s="214"/>
      <c r="C244" s="88"/>
      <c r="D244" s="78" t="s">
        <v>196</v>
      </c>
      <c r="E244" s="60">
        <v>443</v>
      </c>
      <c r="F244" s="61">
        <v>0.05</v>
      </c>
      <c r="G244" s="89">
        <f t="shared" si="182"/>
        <v>465.15</v>
      </c>
      <c r="H244" s="60" t="s">
        <v>38</v>
      </c>
      <c r="I244" s="104">
        <v>2.4E-2</v>
      </c>
      <c r="J244" s="105">
        <f t="shared" si="183"/>
        <v>11.163600000000001</v>
      </c>
      <c r="K244" s="106">
        <f>'LABOR SHEET'!$C$5</f>
        <v>45</v>
      </c>
      <c r="L244" s="107">
        <f t="shared" si="184"/>
        <v>1.08</v>
      </c>
      <c r="M244" s="107">
        <f t="shared" si="185"/>
        <v>502.36200000000002</v>
      </c>
      <c r="N244" s="107">
        <v>1.2</v>
      </c>
      <c r="O244" s="107">
        <f t="shared" si="186"/>
        <v>558.17999999999995</v>
      </c>
      <c r="P244" s="107">
        <f t="shared" si="187"/>
        <v>2.2799999999999998</v>
      </c>
      <c r="Q244" s="131">
        <f t="shared" si="188"/>
        <v>1060.5419999999999</v>
      </c>
      <c r="R244" s="138"/>
      <c r="S244" s="138"/>
      <c r="T244" s="138"/>
      <c r="U244" s="138"/>
      <c r="V244" s="138"/>
      <c r="W244" s="138"/>
      <c r="X244" s="138"/>
      <c r="Y244" s="138"/>
      <c r="Z244" s="138"/>
      <c r="AA244" s="138"/>
      <c r="AB244" s="138"/>
      <c r="AC244" s="138"/>
      <c r="AD244" s="138"/>
      <c r="AE244" s="138"/>
      <c r="AF244" s="138"/>
      <c r="AG244" s="138"/>
      <c r="AH244" s="138"/>
      <c r="AI244" s="138"/>
      <c r="AJ244" s="138"/>
    </row>
    <row r="245" spans="1:36" s="31" customFormat="1">
      <c r="A245" s="85">
        <f>IF(F245&lt;&gt;"",1+MAX($A$2:A244),"")</f>
        <v>155</v>
      </c>
      <c r="B245" s="214"/>
      <c r="C245" s="88"/>
      <c r="D245" s="78" t="s">
        <v>196</v>
      </c>
      <c r="E245" s="60">
        <v>104</v>
      </c>
      <c r="F245" s="61">
        <v>0.05</v>
      </c>
      <c r="G245" s="89">
        <f t="shared" si="182"/>
        <v>109.2</v>
      </c>
      <c r="H245" s="60" t="s">
        <v>38</v>
      </c>
      <c r="I245" s="104">
        <v>2.4E-2</v>
      </c>
      <c r="J245" s="105">
        <f t="shared" si="183"/>
        <v>2.6208</v>
      </c>
      <c r="K245" s="106">
        <f>'LABOR SHEET'!$C$5</f>
        <v>45</v>
      </c>
      <c r="L245" s="107">
        <f t="shared" si="184"/>
        <v>1.08</v>
      </c>
      <c r="M245" s="107">
        <f t="shared" si="185"/>
        <v>117.93600000000001</v>
      </c>
      <c r="N245" s="107">
        <v>1.2</v>
      </c>
      <c r="O245" s="107">
        <f t="shared" si="186"/>
        <v>131.04</v>
      </c>
      <c r="P245" s="107">
        <f t="shared" si="187"/>
        <v>2.2799999999999998</v>
      </c>
      <c r="Q245" s="131">
        <f t="shared" si="188"/>
        <v>248.976</v>
      </c>
      <c r="R245" s="138"/>
      <c r="S245" s="138"/>
      <c r="T245" s="138"/>
      <c r="U245" s="138"/>
      <c r="V245" s="138"/>
      <c r="W245" s="138"/>
      <c r="X245" s="138"/>
      <c r="Y245" s="138"/>
      <c r="Z245" s="138"/>
      <c r="AA245" s="138"/>
      <c r="AB245" s="138"/>
      <c r="AC245" s="138"/>
      <c r="AD245" s="138"/>
      <c r="AE245" s="138"/>
      <c r="AF245" s="138"/>
      <c r="AG245" s="138"/>
      <c r="AH245" s="138"/>
      <c r="AI245" s="138"/>
      <c r="AJ245" s="138"/>
    </row>
    <row r="246" spans="1:36" s="31" customFormat="1">
      <c r="A246" s="85">
        <f>IF(F246&lt;&gt;"",1+MAX($A$2:A245),"")</f>
        <v>156</v>
      </c>
      <c r="B246" s="214"/>
      <c r="C246" s="88"/>
      <c r="D246" s="78" t="s">
        <v>197</v>
      </c>
      <c r="E246" s="60">
        <v>2</v>
      </c>
      <c r="F246" s="90">
        <v>0</v>
      </c>
      <c r="G246" s="89">
        <f t="shared" si="182"/>
        <v>2</v>
      </c>
      <c r="H246" s="60" t="s">
        <v>45</v>
      </c>
      <c r="I246" s="104">
        <v>5.0999999999999996</v>
      </c>
      <c r="J246" s="105">
        <f t="shared" si="183"/>
        <v>10.199999999999999</v>
      </c>
      <c r="K246" s="106">
        <f>'LABOR SHEET'!$C$5</f>
        <v>45</v>
      </c>
      <c r="L246" s="107">
        <f t="shared" si="184"/>
        <v>229.5</v>
      </c>
      <c r="M246" s="107">
        <f t="shared" si="185"/>
        <v>459</v>
      </c>
      <c r="N246" s="107">
        <f>1199+499</f>
        <v>1698</v>
      </c>
      <c r="O246" s="107">
        <f t="shared" si="186"/>
        <v>3396</v>
      </c>
      <c r="P246" s="107">
        <f t="shared" si="187"/>
        <v>1927.5</v>
      </c>
      <c r="Q246" s="131">
        <f t="shared" si="188"/>
        <v>3855</v>
      </c>
      <c r="R246" s="138"/>
      <c r="S246" s="138"/>
      <c r="T246" s="138"/>
      <c r="U246" s="138"/>
      <c r="V246" s="138"/>
      <c r="W246" s="138"/>
      <c r="X246" s="138"/>
      <c r="Y246" s="138"/>
      <c r="Z246" s="138"/>
      <c r="AA246" s="138"/>
      <c r="AB246" s="138"/>
      <c r="AC246" s="138"/>
      <c r="AD246" s="138"/>
      <c r="AE246" s="138"/>
      <c r="AF246" s="138"/>
      <c r="AG246" s="138"/>
      <c r="AH246" s="138"/>
      <c r="AI246" s="138"/>
      <c r="AJ246" s="138"/>
    </row>
    <row r="247" spans="1:36" s="31" customFormat="1">
      <c r="A247" s="85">
        <f>IF(F247&lt;&gt;"",1+MAX($A$2:A246),"")</f>
        <v>157</v>
      </c>
      <c r="B247" s="214"/>
      <c r="C247" s="88"/>
      <c r="D247" s="78" t="s">
        <v>198</v>
      </c>
      <c r="E247" s="60">
        <v>23</v>
      </c>
      <c r="F247" s="90">
        <v>0</v>
      </c>
      <c r="G247" s="89">
        <f t="shared" si="182"/>
        <v>23</v>
      </c>
      <c r="H247" s="60" t="s">
        <v>45</v>
      </c>
      <c r="I247" s="104">
        <v>0.88</v>
      </c>
      <c r="J247" s="105">
        <f t="shared" si="183"/>
        <v>20.239999999999998</v>
      </c>
      <c r="K247" s="106">
        <f>'LABOR SHEET'!$C$5</f>
        <v>45</v>
      </c>
      <c r="L247" s="107">
        <f t="shared" si="184"/>
        <v>39.6</v>
      </c>
      <c r="M247" s="107">
        <f t="shared" si="185"/>
        <v>910.8</v>
      </c>
      <c r="N247" s="107">
        <v>72</v>
      </c>
      <c r="O247" s="107">
        <f t="shared" si="186"/>
        <v>1656</v>
      </c>
      <c r="P247" s="107">
        <f t="shared" si="187"/>
        <v>111.6</v>
      </c>
      <c r="Q247" s="131">
        <f t="shared" si="188"/>
        <v>2566.8000000000002</v>
      </c>
      <c r="R247" s="138"/>
      <c r="S247" s="138"/>
      <c r="T247" s="138"/>
      <c r="U247" s="138"/>
      <c r="V247" s="138"/>
      <c r="W247" s="138"/>
      <c r="X247" s="138"/>
      <c r="Y247" s="138"/>
      <c r="Z247" s="138"/>
      <c r="AA247" s="138"/>
      <c r="AB247" s="138"/>
      <c r="AC247" s="138"/>
      <c r="AD247" s="138"/>
      <c r="AE247" s="138"/>
      <c r="AF247" s="138"/>
      <c r="AG247" s="138"/>
      <c r="AH247" s="138"/>
      <c r="AI247" s="138"/>
      <c r="AJ247" s="138"/>
    </row>
    <row r="248" spans="1:36" s="31" customFormat="1">
      <c r="A248" s="85" t="str">
        <f>IF(F248&lt;&gt;"",1+MAX($A$2:A247),"")</f>
        <v/>
      </c>
      <c r="B248" s="215"/>
      <c r="C248" s="88"/>
      <c r="D248" s="59"/>
      <c r="E248" s="62"/>
      <c r="F248" s="90"/>
      <c r="G248" s="89"/>
      <c r="H248" s="60"/>
      <c r="I248" s="104"/>
      <c r="J248" s="105"/>
      <c r="K248" s="106"/>
      <c r="L248" s="107"/>
      <c r="M248" s="107"/>
      <c r="N248" s="107"/>
      <c r="O248" s="107"/>
      <c r="P248" s="107"/>
      <c r="Q248" s="137"/>
      <c r="R248" s="138"/>
      <c r="S248" s="138"/>
      <c r="T248" s="138"/>
      <c r="U248" s="138"/>
      <c r="V248" s="138"/>
      <c r="W248" s="138"/>
      <c r="X248" s="138"/>
      <c r="Y248" s="138"/>
      <c r="Z248" s="138"/>
      <c r="AA248" s="138"/>
      <c r="AB248" s="138"/>
      <c r="AC248" s="138"/>
      <c r="AD248" s="138"/>
      <c r="AE248" s="138"/>
      <c r="AF248" s="138"/>
      <c r="AG248" s="138"/>
      <c r="AH248" s="138"/>
      <c r="AI248" s="138"/>
      <c r="AJ248" s="138"/>
    </row>
    <row r="249" spans="1:36" s="31" customFormat="1">
      <c r="A249" s="85" t="str">
        <f>IF(F249&lt;&gt;"",1+MAX($A$2:A248),"")</f>
        <v/>
      </c>
      <c r="B249" s="144"/>
      <c r="C249" s="92"/>
      <c r="D249" s="70" t="s">
        <v>31</v>
      </c>
      <c r="E249" s="93"/>
      <c r="F249" s="93"/>
      <c r="G249" s="94"/>
      <c r="H249" s="93"/>
      <c r="I249" s="93"/>
      <c r="J249" s="118"/>
      <c r="K249" s="118"/>
      <c r="L249" s="119"/>
      <c r="M249" s="120"/>
      <c r="N249" s="119"/>
      <c r="O249" s="119"/>
      <c r="P249" s="121"/>
      <c r="Q249" s="126">
        <f>SUM(Q48:Q247)</f>
        <v>850286.56545864802</v>
      </c>
      <c r="S249" s="129"/>
    </row>
    <row r="250" spans="1:36" s="31" customFormat="1">
      <c r="A250" s="95" t="str">
        <f>IF(F250&lt;&gt;"",1+MAX($A$2:A249),"")</f>
        <v/>
      </c>
      <c r="B250" s="96"/>
      <c r="C250" s="96"/>
      <c r="D250" s="96"/>
      <c r="E250" s="96"/>
      <c r="F250" s="96"/>
      <c r="G250" s="96"/>
      <c r="H250" s="96"/>
      <c r="I250" s="96"/>
      <c r="J250" s="96"/>
      <c r="K250" s="96"/>
      <c r="L250" s="96"/>
      <c r="M250" s="96"/>
      <c r="N250" s="96"/>
      <c r="O250" s="96"/>
      <c r="P250" s="96"/>
      <c r="Q250" s="139"/>
      <c r="S250" s="129"/>
    </row>
    <row r="251" spans="1:36" s="31" customFormat="1">
      <c r="A251" s="47" t="str">
        <f>IF(F251&lt;&gt;"",1+MAX($A$2:A250),"")</f>
        <v/>
      </c>
      <c r="B251" s="145"/>
      <c r="C251" s="48">
        <v>33</v>
      </c>
      <c r="D251" s="50" t="s">
        <v>199</v>
      </c>
      <c r="E251" s="48"/>
      <c r="F251" s="48"/>
      <c r="G251" s="48"/>
      <c r="H251" s="48"/>
      <c r="I251" s="48"/>
      <c r="J251" s="48"/>
      <c r="K251" s="48"/>
      <c r="L251" s="48"/>
      <c r="M251" s="48"/>
      <c r="N251" s="48"/>
      <c r="O251" s="48"/>
      <c r="P251" s="48"/>
      <c r="Q251" s="136"/>
      <c r="S251" s="129"/>
    </row>
    <row r="252" spans="1:36" s="31" customFormat="1">
      <c r="A252" s="85" t="str">
        <f>IF(F252&lt;&gt;"",1+MAX($A$2:A251),"")</f>
        <v/>
      </c>
      <c r="B252" s="146"/>
      <c r="C252" s="62"/>
      <c r="D252" s="87" t="s">
        <v>200</v>
      </c>
      <c r="E252" s="60"/>
      <c r="F252" s="60"/>
      <c r="G252" s="60"/>
      <c r="H252" s="60"/>
      <c r="I252" s="115"/>
      <c r="J252" s="116"/>
      <c r="K252" s="117"/>
      <c r="L252" s="107"/>
      <c r="M252" s="107"/>
      <c r="N252" s="107"/>
      <c r="O252" s="107"/>
      <c r="P252" s="107"/>
      <c r="Q252" s="137"/>
      <c r="R252" s="138"/>
      <c r="S252" s="138"/>
      <c r="T252" s="138"/>
      <c r="U252" s="138"/>
      <c r="V252" s="138"/>
      <c r="W252" s="138"/>
      <c r="X252" s="138"/>
      <c r="Y252" s="138"/>
      <c r="Z252" s="138"/>
      <c r="AA252" s="138"/>
      <c r="AB252" s="138"/>
      <c r="AC252" s="138"/>
      <c r="AD252" s="138"/>
      <c r="AE252" s="138"/>
      <c r="AF252" s="138"/>
      <c r="AG252" s="138"/>
      <c r="AH252" s="138"/>
      <c r="AI252" s="138"/>
      <c r="AJ252" s="138"/>
    </row>
    <row r="253" spans="1:36" s="31" customFormat="1">
      <c r="A253" s="85" t="str">
        <f>IF(F253&lt;&gt;"",1+MAX($A$2:A252),"")</f>
        <v/>
      </c>
      <c r="B253" s="216" t="s">
        <v>57</v>
      </c>
      <c r="C253" s="88"/>
      <c r="D253" s="97" t="s">
        <v>201</v>
      </c>
      <c r="E253" s="60"/>
      <c r="F253" s="90"/>
      <c r="G253" s="89"/>
      <c r="H253" s="60"/>
      <c r="I253" s="104"/>
      <c r="J253" s="105"/>
      <c r="K253" s="106"/>
      <c r="L253" s="107"/>
      <c r="M253" s="107"/>
      <c r="N253" s="107"/>
      <c r="O253" s="107"/>
      <c r="P253" s="107"/>
      <c r="Q253" s="131"/>
      <c r="R253" s="138"/>
      <c r="S253" s="138"/>
      <c r="T253" s="138"/>
      <c r="U253" s="138"/>
      <c r="V253" s="138"/>
      <c r="W253" s="138"/>
      <c r="X253" s="138"/>
      <c r="Y253" s="138"/>
      <c r="Z253" s="138"/>
      <c r="AA253" s="138"/>
      <c r="AB253" s="138"/>
      <c r="AC253" s="138"/>
      <c r="AD253" s="138"/>
      <c r="AE253" s="138"/>
      <c r="AF253" s="138"/>
      <c r="AG253" s="138"/>
      <c r="AH253" s="138"/>
      <c r="AI253" s="138"/>
      <c r="AJ253" s="138"/>
    </row>
    <row r="254" spans="1:36" s="31" customFormat="1">
      <c r="A254" s="85">
        <f>IF(F254&lt;&gt;"",1+MAX($A$2:A253),"")</f>
        <v>158</v>
      </c>
      <c r="B254" s="217"/>
      <c r="C254" s="88"/>
      <c r="D254" s="80" t="s">
        <v>202</v>
      </c>
      <c r="E254" s="60">
        <v>326</v>
      </c>
      <c r="F254" s="61">
        <v>0.05</v>
      </c>
      <c r="G254" s="89">
        <f t="shared" ref="G254:G260" si="189">E254*(1+F254)</f>
        <v>342.3</v>
      </c>
      <c r="H254" s="60" t="s">
        <v>38</v>
      </c>
      <c r="I254" s="104">
        <v>0.41</v>
      </c>
      <c r="J254" s="105">
        <f t="shared" ref="J254:J257" si="190">+I254*G254</f>
        <v>140.34299999999999</v>
      </c>
      <c r="K254" s="106">
        <f>'LABOR SHEET'!$C$3</f>
        <v>70</v>
      </c>
      <c r="L254" s="107">
        <f t="shared" ref="L254:L257" si="191">I254*K254</f>
        <v>28.7</v>
      </c>
      <c r="M254" s="107">
        <f t="shared" ref="M254:M257" si="192">K254*J254</f>
        <v>9824.01</v>
      </c>
      <c r="N254" s="107">
        <v>17.95</v>
      </c>
      <c r="O254" s="107">
        <f t="shared" ref="O254:O260" si="193">N254*G254</f>
        <v>6144.2849999999999</v>
      </c>
      <c r="P254" s="107">
        <f t="shared" ref="P254:P260" si="194">(I254*K254)+N254</f>
        <v>46.65</v>
      </c>
      <c r="Q254" s="131">
        <f t="shared" ref="Q254:Q260" si="195">P254*G254</f>
        <v>15968.295</v>
      </c>
      <c r="R254" s="138"/>
      <c r="S254" s="138"/>
      <c r="T254" s="138"/>
      <c r="U254" s="138"/>
      <c r="V254" s="138"/>
      <c r="W254" s="138"/>
      <c r="X254" s="138"/>
      <c r="Y254" s="138"/>
      <c r="Z254" s="138"/>
      <c r="AA254" s="138"/>
      <c r="AB254" s="138"/>
      <c r="AC254" s="138"/>
      <c r="AD254" s="138"/>
      <c r="AE254" s="138"/>
      <c r="AF254" s="138"/>
      <c r="AG254" s="138"/>
      <c r="AH254" s="138"/>
      <c r="AI254" s="138"/>
      <c r="AJ254" s="138"/>
    </row>
    <row r="255" spans="1:36" s="31" customFormat="1">
      <c r="A255" s="85">
        <f>IF(F255&lt;&gt;"",1+MAX($A$2:A254),"")</f>
        <v>159</v>
      </c>
      <c r="B255" s="217"/>
      <c r="C255" s="88"/>
      <c r="D255" s="78" t="s">
        <v>203</v>
      </c>
      <c r="E255" s="60">
        <v>28</v>
      </c>
      <c r="F255" s="61">
        <v>0.05</v>
      </c>
      <c r="G255" s="89">
        <f t="shared" si="189"/>
        <v>29.4</v>
      </c>
      <c r="H255" s="60" t="s">
        <v>38</v>
      </c>
      <c r="I255" s="104">
        <v>0.435</v>
      </c>
      <c r="J255" s="105">
        <f t="shared" si="190"/>
        <v>12.789</v>
      </c>
      <c r="K255" s="106">
        <f>'LABOR SHEET'!$C$3</f>
        <v>70</v>
      </c>
      <c r="L255" s="107">
        <f t="shared" si="191"/>
        <v>30.45</v>
      </c>
      <c r="M255" s="107">
        <f t="shared" si="192"/>
        <v>895.23</v>
      </c>
      <c r="N255" s="107">
        <v>19.350000000000001</v>
      </c>
      <c r="O255" s="107">
        <f t="shared" si="193"/>
        <v>568.89</v>
      </c>
      <c r="P255" s="107">
        <f t="shared" si="194"/>
        <v>49.8</v>
      </c>
      <c r="Q255" s="131">
        <f t="shared" si="195"/>
        <v>1464.12</v>
      </c>
      <c r="R255" s="138"/>
      <c r="S255" s="138"/>
      <c r="T255" s="138"/>
      <c r="U255" s="138"/>
      <c r="V255" s="138"/>
      <c r="W255" s="138"/>
      <c r="X255" s="138"/>
      <c r="Y255" s="138"/>
      <c r="Z255" s="138"/>
      <c r="AA255" s="138"/>
      <c r="AB255" s="138"/>
      <c r="AC255" s="138"/>
      <c r="AD255" s="138"/>
      <c r="AE255" s="138"/>
      <c r="AF255" s="138"/>
      <c r="AG255" s="138"/>
      <c r="AH255" s="138"/>
      <c r="AI255" s="138"/>
      <c r="AJ255" s="138"/>
    </row>
    <row r="256" spans="1:36" s="31" customFormat="1">
      <c r="A256" s="85">
        <f>IF(F256&lt;&gt;"",1+MAX($A$2:A255),"")</f>
        <v>160</v>
      </c>
      <c r="B256" s="217"/>
      <c r="C256" s="88"/>
      <c r="D256" s="78" t="s">
        <v>204</v>
      </c>
      <c r="E256" s="60">
        <v>34</v>
      </c>
      <c r="F256" s="61">
        <v>0.05</v>
      </c>
      <c r="G256" s="89">
        <f t="shared" si="189"/>
        <v>35.700000000000003</v>
      </c>
      <c r="H256" s="60" t="s">
        <v>38</v>
      </c>
      <c r="I256" s="104">
        <v>0.63500000000000001</v>
      </c>
      <c r="J256" s="105">
        <f t="shared" si="190"/>
        <v>22.669499999999999</v>
      </c>
      <c r="K256" s="106">
        <f>'LABOR SHEET'!$C$3</f>
        <v>70</v>
      </c>
      <c r="L256" s="107">
        <f t="shared" si="191"/>
        <v>44.45</v>
      </c>
      <c r="M256" s="107">
        <f t="shared" si="192"/>
        <v>1586.865</v>
      </c>
      <c r="N256" s="107">
        <v>32.5</v>
      </c>
      <c r="O256" s="107">
        <f t="shared" si="193"/>
        <v>1160.25</v>
      </c>
      <c r="P256" s="107">
        <f t="shared" si="194"/>
        <v>76.95</v>
      </c>
      <c r="Q256" s="131">
        <f t="shared" si="195"/>
        <v>2747.1149999999998</v>
      </c>
      <c r="R256" s="138"/>
      <c r="S256" s="138"/>
      <c r="T256" s="138"/>
      <c r="U256" s="138"/>
      <c r="V256" s="138"/>
      <c r="W256" s="138"/>
      <c r="X256" s="138"/>
      <c r="Y256" s="138"/>
      <c r="Z256" s="138"/>
      <c r="AA256" s="138"/>
      <c r="AB256" s="138"/>
      <c r="AC256" s="138"/>
      <c r="AD256" s="138"/>
      <c r="AE256" s="138"/>
      <c r="AF256" s="138"/>
      <c r="AG256" s="138"/>
      <c r="AH256" s="138"/>
      <c r="AI256" s="138"/>
      <c r="AJ256" s="138"/>
    </row>
    <row r="257" spans="1:36" s="31" customFormat="1">
      <c r="A257" s="85">
        <f>IF(F257&lt;&gt;"",1+MAX($A$2:A256),"")</f>
        <v>161</v>
      </c>
      <c r="B257" s="217"/>
      <c r="C257" s="88"/>
      <c r="D257" s="78" t="s">
        <v>205</v>
      </c>
      <c r="E257" s="60">
        <v>365</v>
      </c>
      <c r="F257" s="61">
        <v>0.05</v>
      </c>
      <c r="G257" s="89">
        <f t="shared" si="189"/>
        <v>383.25</v>
      </c>
      <c r="H257" s="60" t="s">
        <v>38</v>
      </c>
      <c r="I257" s="104">
        <v>0.41</v>
      </c>
      <c r="J257" s="105">
        <f t="shared" si="190"/>
        <v>157.13249999999999</v>
      </c>
      <c r="K257" s="106">
        <f>'LABOR SHEET'!$C$3</f>
        <v>70</v>
      </c>
      <c r="L257" s="107">
        <f t="shared" si="191"/>
        <v>28.7</v>
      </c>
      <c r="M257" s="107">
        <f t="shared" si="192"/>
        <v>10999.275</v>
      </c>
      <c r="N257" s="107">
        <v>17.95</v>
      </c>
      <c r="O257" s="107">
        <f t="shared" si="193"/>
        <v>6879.3374999999996</v>
      </c>
      <c r="P257" s="107">
        <f t="shared" si="194"/>
        <v>46.65</v>
      </c>
      <c r="Q257" s="131">
        <f t="shared" si="195"/>
        <v>17878.612499999999</v>
      </c>
      <c r="R257" s="138"/>
      <c r="S257" s="138"/>
      <c r="T257" s="138"/>
      <c r="U257" s="138"/>
      <c r="V257" s="138"/>
      <c r="W257" s="138"/>
      <c r="X257" s="138"/>
      <c r="Y257" s="138"/>
      <c r="Z257" s="138"/>
      <c r="AA257" s="138"/>
      <c r="AB257" s="138"/>
      <c r="AC257" s="138"/>
      <c r="AD257" s="138"/>
      <c r="AE257" s="138"/>
      <c r="AF257" s="138"/>
      <c r="AG257" s="138"/>
      <c r="AH257" s="138"/>
      <c r="AI257" s="138"/>
      <c r="AJ257" s="138"/>
    </row>
    <row r="258" spans="1:36" s="31" customFormat="1">
      <c r="A258" s="85">
        <f>IF(F258&lt;&gt;"",1+MAX($A$2:A257),"")</f>
        <v>162</v>
      </c>
      <c r="B258" s="217"/>
      <c r="C258" s="88"/>
      <c r="D258" s="78" t="s">
        <v>206</v>
      </c>
      <c r="E258" s="60">
        <v>950</v>
      </c>
      <c r="F258" s="61">
        <v>0.05</v>
      </c>
      <c r="G258" s="89">
        <f t="shared" si="189"/>
        <v>997.5</v>
      </c>
      <c r="H258" s="60" t="s">
        <v>38</v>
      </c>
      <c r="I258" s="104">
        <v>0.33300000000000002</v>
      </c>
      <c r="J258" s="105">
        <f t="shared" ref="J258:J260" si="196">+I258*G258</f>
        <v>332.16750000000002</v>
      </c>
      <c r="K258" s="106">
        <f>'LABOR SHEET'!$C$3</f>
        <v>70</v>
      </c>
      <c r="L258" s="107">
        <f t="shared" ref="L258:L260" si="197">I258*K258</f>
        <v>23.31</v>
      </c>
      <c r="M258" s="107">
        <f t="shared" ref="M258:M260" si="198">K258*J258</f>
        <v>23251.724999999999</v>
      </c>
      <c r="N258" s="107">
        <v>10.45</v>
      </c>
      <c r="O258" s="107">
        <f t="shared" si="193"/>
        <v>10423.875</v>
      </c>
      <c r="P258" s="107">
        <f t="shared" si="194"/>
        <v>33.76</v>
      </c>
      <c r="Q258" s="131">
        <f t="shared" si="195"/>
        <v>33675.599999999999</v>
      </c>
      <c r="R258" s="138"/>
      <c r="S258" s="138"/>
      <c r="T258" s="138"/>
      <c r="U258" s="138"/>
      <c r="V258" s="138"/>
      <c r="W258" s="138"/>
      <c r="X258" s="138"/>
      <c r="Y258" s="138"/>
      <c r="Z258" s="138"/>
      <c r="AA258" s="138"/>
      <c r="AB258" s="138"/>
      <c r="AC258" s="138"/>
      <c r="AD258" s="138"/>
      <c r="AE258" s="138"/>
      <c r="AF258" s="138"/>
      <c r="AG258" s="138"/>
      <c r="AH258" s="138"/>
      <c r="AI258" s="138"/>
      <c r="AJ258" s="138"/>
    </row>
    <row r="259" spans="1:36" s="31" customFormat="1">
      <c r="A259" s="85">
        <f>IF(F259&lt;&gt;"",1+MAX($A$2:A258),"")</f>
        <v>163</v>
      </c>
      <c r="B259" s="217"/>
      <c r="C259" s="88"/>
      <c r="D259" s="78" t="s">
        <v>207</v>
      </c>
      <c r="E259" s="147">
        <v>168</v>
      </c>
      <c r="F259" s="61">
        <v>0.05</v>
      </c>
      <c r="G259" s="89">
        <f t="shared" si="189"/>
        <v>176.4</v>
      </c>
      <c r="H259" s="60" t="s">
        <v>38</v>
      </c>
      <c r="I259" s="104">
        <v>0.30199999999999999</v>
      </c>
      <c r="J259" s="105">
        <f t="shared" si="196"/>
        <v>53.272799999999997</v>
      </c>
      <c r="K259" s="106">
        <f>'LABOR SHEET'!$C$3</f>
        <v>70</v>
      </c>
      <c r="L259" s="107">
        <f t="shared" si="197"/>
        <v>21.14</v>
      </c>
      <c r="M259" s="107">
        <f t="shared" si="198"/>
        <v>3729.096</v>
      </c>
      <c r="N259" s="107">
        <v>8.15</v>
      </c>
      <c r="O259" s="107">
        <f t="shared" si="193"/>
        <v>1437.66</v>
      </c>
      <c r="P259" s="107">
        <f t="shared" si="194"/>
        <v>29.29</v>
      </c>
      <c r="Q259" s="131">
        <f t="shared" si="195"/>
        <v>5166.7560000000003</v>
      </c>
      <c r="R259" s="138"/>
      <c r="S259" s="138"/>
      <c r="T259" s="138"/>
      <c r="U259" s="138"/>
      <c r="V259" s="138"/>
      <c r="W259" s="138"/>
      <c r="X259" s="138"/>
      <c r="Y259" s="138"/>
      <c r="Z259" s="138"/>
      <c r="AA259" s="138"/>
      <c r="AB259" s="138"/>
      <c r="AC259" s="138"/>
      <c r="AD259" s="138"/>
      <c r="AE259" s="138"/>
      <c r="AF259" s="138"/>
      <c r="AG259" s="138"/>
      <c r="AH259" s="138"/>
      <c r="AI259" s="138"/>
      <c r="AJ259" s="138"/>
    </row>
    <row r="260" spans="1:36" s="31" customFormat="1">
      <c r="A260" s="85">
        <f>IF(F260&lt;&gt;"",1+MAX($A$2:A259),"")</f>
        <v>164</v>
      </c>
      <c r="B260" s="217"/>
      <c r="C260" s="88"/>
      <c r="D260" s="78" t="s">
        <v>208</v>
      </c>
      <c r="E260" s="147">
        <v>61</v>
      </c>
      <c r="F260" s="61">
        <v>0.05</v>
      </c>
      <c r="G260" s="89">
        <f t="shared" si="189"/>
        <v>64.05</v>
      </c>
      <c r="H260" s="60" t="s">
        <v>38</v>
      </c>
      <c r="I260" s="104">
        <v>0.41</v>
      </c>
      <c r="J260" s="105">
        <f t="shared" si="196"/>
        <v>26.2605</v>
      </c>
      <c r="K260" s="106">
        <f>'LABOR SHEET'!$C$3</f>
        <v>70</v>
      </c>
      <c r="L260" s="107">
        <f t="shared" si="197"/>
        <v>28.7</v>
      </c>
      <c r="M260" s="107">
        <f t="shared" si="198"/>
        <v>1838.2349999999999</v>
      </c>
      <c r="N260" s="107">
        <v>17.95</v>
      </c>
      <c r="O260" s="107">
        <f t="shared" si="193"/>
        <v>1149.6975</v>
      </c>
      <c r="P260" s="107">
        <f t="shared" si="194"/>
        <v>46.65</v>
      </c>
      <c r="Q260" s="131">
        <f t="shared" si="195"/>
        <v>2987.9324999999999</v>
      </c>
      <c r="R260" s="138"/>
      <c r="S260" s="138"/>
      <c r="T260" s="138"/>
      <c r="U260" s="138"/>
      <c r="V260" s="138"/>
      <c r="W260" s="138"/>
      <c r="X260" s="138"/>
      <c r="Y260" s="138"/>
      <c r="Z260" s="138"/>
      <c r="AA260" s="138"/>
      <c r="AB260" s="138"/>
      <c r="AC260" s="138"/>
      <c r="AD260" s="138"/>
      <c r="AE260" s="138"/>
      <c r="AF260" s="138"/>
      <c r="AG260" s="138"/>
      <c r="AH260" s="138"/>
      <c r="AI260" s="138"/>
      <c r="AJ260" s="138"/>
    </row>
    <row r="261" spans="1:36" s="31" customFormat="1">
      <c r="A261" s="85"/>
      <c r="B261" s="217"/>
      <c r="C261" s="88"/>
      <c r="D261" s="78"/>
      <c r="E261" s="147"/>
      <c r="F261" s="61"/>
      <c r="G261" s="89"/>
      <c r="H261" s="60"/>
      <c r="I261" s="104"/>
      <c r="J261" s="105"/>
      <c r="K261" s="106"/>
      <c r="L261" s="107"/>
      <c r="M261" s="107"/>
      <c r="N261" s="107"/>
      <c r="O261" s="107"/>
      <c r="P261" s="107"/>
      <c r="Q261" s="131"/>
      <c r="R261" s="138"/>
      <c r="S261" s="138"/>
      <c r="T261" s="138"/>
      <c r="U261" s="138"/>
      <c r="V261" s="138"/>
      <c r="W261" s="138"/>
      <c r="X261" s="138"/>
      <c r="Y261" s="138"/>
      <c r="Z261" s="138"/>
      <c r="AA261" s="138"/>
      <c r="AB261" s="138"/>
      <c r="AC261" s="138"/>
      <c r="AD261" s="138"/>
      <c r="AE261" s="138"/>
      <c r="AF261" s="138"/>
      <c r="AG261" s="138"/>
      <c r="AH261" s="138"/>
      <c r="AI261" s="138"/>
      <c r="AJ261" s="138"/>
    </row>
    <row r="262" spans="1:36" s="31" customFormat="1">
      <c r="A262" s="85" t="str">
        <f>IF(F262&lt;&gt;"",1+MAX($A$2:A260),"")</f>
        <v/>
      </c>
      <c r="B262" s="217"/>
      <c r="C262" s="88"/>
      <c r="D262" s="97" t="s">
        <v>209</v>
      </c>
      <c r="E262" s="147"/>
      <c r="F262" s="90"/>
      <c r="G262" s="89"/>
      <c r="H262" s="60"/>
      <c r="I262" s="104"/>
      <c r="J262" s="105"/>
      <c r="K262" s="106"/>
      <c r="L262" s="107"/>
      <c r="M262" s="107"/>
      <c r="N262" s="107"/>
      <c r="O262" s="107"/>
      <c r="P262" s="107"/>
      <c r="Q262" s="131"/>
      <c r="R262" s="138"/>
      <c r="S262" s="138"/>
      <c r="T262" s="138"/>
      <c r="U262" s="138"/>
      <c r="V262" s="138"/>
      <c r="W262" s="138"/>
      <c r="X262" s="138"/>
      <c r="Y262" s="138"/>
      <c r="Z262" s="138"/>
      <c r="AA262" s="138"/>
      <c r="AB262" s="138"/>
      <c r="AC262" s="138"/>
      <c r="AD262" s="138"/>
      <c r="AE262" s="138"/>
      <c r="AF262" s="138"/>
      <c r="AG262" s="138"/>
      <c r="AH262" s="138"/>
      <c r="AI262" s="138"/>
      <c r="AJ262" s="138"/>
    </row>
    <row r="263" spans="1:36" s="31" customFormat="1">
      <c r="A263" s="85">
        <f>IF(F263&lt;&gt;"",1+MAX($A$2:A262),"")</f>
        <v>165</v>
      </c>
      <c r="B263" s="217"/>
      <c r="C263" s="88"/>
      <c r="D263" s="80" t="s">
        <v>210</v>
      </c>
      <c r="E263" s="147">
        <v>501</v>
      </c>
      <c r="F263" s="61">
        <v>0.05</v>
      </c>
      <c r="G263" s="89">
        <f>E263*(1+F263)</f>
        <v>526.04999999999995</v>
      </c>
      <c r="H263" s="60" t="s">
        <v>38</v>
      </c>
      <c r="I263" s="104">
        <v>0.11799999999999999</v>
      </c>
      <c r="J263" s="105">
        <f t="shared" ref="J263:J267" si="199">+I263*G263</f>
        <v>62.073900000000002</v>
      </c>
      <c r="K263" s="106">
        <f>'LABOR SHEET'!$C$3</f>
        <v>70</v>
      </c>
      <c r="L263" s="107">
        <f t="shared" ref="L263:L267" si="200">I263*K263</f>
        <v>8.26</v>
      </c>
      <c r="M263" s="107">
        <f t="shared" ref="M263:M267" si="201">K263*J263</f>
        <v>4345.1729999999998</v>
      </c>
      <c r="N263" s="107">
        <v>7.25</v>
      </c>
      <c r="O263" s="107">
        <f t="shared" ref="O263:O267" si="202">N263*G263</f>
        <v>3813.8625000000002</v>
      </c>
      <c r="P263" s="107">
        <f t="shared" ref="P263:P267" si="203">(I263*K263)+N263</f>
        <v>15.51</v>
      </c>
      <c r="Q263" s="131">
        <f t="shared" ref="Q263:Q267" si="204">P263*G263</f>
        <v>8159.0355</v>
      </c>
      <c r="R263" s="138"/>
      <c r="S263" s="138"/>
      <c r="T263" s="138"/>
      <c r="U263" s="138"/>
      <c r="V263" s="138"/>
      <c r="W263" s="138"/>
      <c r="X263" s="138"/>
      <c r="Y263" s="138"/>
      <c r="Z263" s="138"/>
      <c r="AA263" s="138"/>
      <c r="AB263" s="138"/>
      <c r="AC263" s="138"/>
      <c r="AD263" s="138"/>
      <c r="AE263" s="138"/>
      <c r="AF263" s="138"/>
      <c r="AG263" s="138"/>
      <c r="AH263" s="138"/>
      <c r="AI263" s="138"/>
      <c r="AJ263" s="138"/>
    </row>
    <row r="264" spans="1:36" s="31" customFormat="1">
      <c r="A264" s="85">
        <f>IF(F264&lt;&gt;"",1+MAX($A$2:A263),"")</f>
        <v>166</v>
      </c>
      <c r="B264" s="217"/>
      <c r="C264" s="88"/>
      <c r="D264" s="78" t="s">
        <v>211</v>
      </c>
      <c r="E264" s="147">
        <v>149</v>
      </c>
      <c r="F264" s="61">
        <v>0.05</v>
      </c>
      <c r="G264" s="89">
        <f>E264*(1+F264)</f>
        <v>156.44999999999999</v>
      </c>
      <c r="H264" s="60" t="s">
        <v>38</v>
      </c>
      <c r="I264" s="104">
        <v>0.27100000000000002</v>
      </c>
      <c r="J264" s="105">
        <f t="shared" si="199"/>
        <v>42.397950000000002</v>
      </c>
      <c r="K264" s="106">
        <f>'LABOR SHEET'!$C$3</f>
        <v>70</v>
      </c>
      <c r="L264" s="107">
        <f t="shared" si="200"/>
        <v>18.97</v>
      </c>
      <c r="M264" s="107">
        <f t="shared" si="201"/>
        <v>2967.8564999999999</v>
      </c>
      <c r="N264" s="107">
        <v>5</v>
      </c>
      <c r="O264" s="107">
        <f t="shared" si="202"/>
        <v>782.25</v>
      </c>
      <c r="P264" s="107">
        <f t="shared" si="203"/>
        <v>23.97</v>
      </c>
      <c r="Q264" s="131">
        <f t="shared" si="204"/>
        <v>3750.1064999999999</v>
      </c>
      <c r="R264" s="138"/>
      <c r="S264" s="138"/>
      <c r="T264" s="138"/>
      <c r="U264" s="138"/>
      <c r="V264" s="138"/>
      <c r="W264" s="138"/>
      <c r="X264" s="138"/>
      <c r="Y264" s="138"/>
      <c r="Z264" s="138"/>
      <c r="AA264" s="138"/>
      <c r="AB264" s="138"/>
      <c r="AC264" s="138"/>
      <c r="AD264" s="138"/>
      <c r="AE264" s="138"/>
      <c r="AF264" s="138"/>
      <c r="AG264" s="138"/>
      <c r="AH264" s="138"/>
      <c r="AI264" s="138"/>
      <c r="AJ264" s="138"/>
    </row>
    <row r="265" spans="1:36" s="31" customFormat="1">
      <c r="A265" s="85">
        <f>IF(F265&lt;&gt;"",1+MAX($A$2:A264),"")</f>
        <v>167</v>
      </c>
      <c r="B265" s="217"/>
      <c r="C265" s="88"/>
      <c r="D265" s="78" t="s">
        <v>212</v>
      </c>
      <c r="E265" s="147">
        <v>244</v>
      </c>
      <c r="F265" s="61">
        <v>0.05</v>
      </c>
      <c r="G265" s="89">
        <f>E265*(1+F265)</f>
        <v>256.2</v>
      </c>
      <c r="H265" s="60" t="s">
        <v>38</v>
      </c>
      <c r="I265" s="104">
        <v>0.41</v>
      </c>
      <c r="J265" s="105">
        <f t="shared" si="199"/>
        <v>105.042</v>
      </c>
      <c r="K265" s="106">
        <f>'LABOR SHEET'!$C$3</f>
        <v>70</v>
      </c>
      <c r="L265" s="107">
        <f t="shared" si="200"/>
        <v>28.7</v>
      </c>
      <c r="M265" s="107">
        <f t="shared" si="201"/>
        <v>7352.94</v>
      </c>
      <c r="N265" s="107">
        <v>17.95</v>
      </c>
      <c r="O265" s="107">
        <f t="shared" si="202"/>
        <v>4598.79</v>
      </c>
      <c r="P265" s="107">
        <f t="shared" si="203"/>
        <v>46.65</v>
      </c>
      <c r="Q265" s="131">
        <f t="shared" si="204"/>
        <v>11951.73</v>
      </c>
      <c r="R265" s="138"/>
      <c r="S265" s="138"/>
      <c r="T265" s="138"/>
      <c r="U265" s="138"/>
      <c r="V265" s="138"/>
      <c r="W265" s="138"/>
      <c r="X265" s="138"/>
      <c r="Y265" s="138"/>
      <c r="Z265" s="138"/>
      <c r="AA265" s="138"/>
      <c r="AB265" s="138"/>
      <c r="AC265" s="138"/>
      <c r="AD265" s="138"/>
      <c r="AE265" s="138"/>
      <c r="AF265" s="138"/>
      <c r="AG265" s="138"/>
      <c r="AH265" s="138"/>
      <c r="AI265" s="138"/>
      <c r="AJ265" s="138"/>
    </row>
    <row r="266" spans="1:36" s="31" customFormat="1">
      <c r="A266" s="85">
        <f>IF(F266&lt;&gt;"",1+MAX($A$2:A265),"")</f>
        <v>168</v>
      </c>
      <c r="B266" s="217"/>
      <c r="C266" s="88"/>
      <c r="D266" s="78" t="s">
        <v>213</v>
      </c>
      <c r="E266" s="147">
        <v>229</v>
      </c>
      <c r="F266" s="61">
        <v>0.05</v>
      </c>
      <c r="G266" s="89">
        <f>E266*(1+F266)</f>
        <v>240.45</v>
      </c>
      <c r="H266" s="60" t="s">
        <v>38</v>
      </c>
      <c r="I266" s="104">
        <v>0.27100000000000002</v>
      </c>
      <c r="J266" s="105">
        <f t="shared" si="199"/>
        <v>65.161950000000004</v>
      </c>
      <c r="K266" s="106">
        <f>'LABOR SHEET'!$C$3</f>
        <v>70</v>
      </c>
      <c r="L266" s="107">
        <f t="shared" si="200"/>
        <v>18.97</v>
      </c>
      <c r="M266" s="107">
        <f t="shared" si="201"/>
        <v>4561.3365000000003</v>
      </c>
      <c r="N266" s="107">
        <v>5</v>
      </c>
      <c r="O266" s="107">
        <f t="shared" si="202"/>
        <v>1202.25</v>
      </c>
      <c r="P266" s="107">
        <f t="shared" si="203"/>
        <v>23.97</v>
      </c>
      <c r="Q266" s="131">
        <f t="shared" si="204"/>
        <v>5763.5865000000003</v>
      </c>
      <c r="R266" s="138"/>
      <c r="S266" s="138"/>
      <c r="T266" s="138"/>
      <c r="U266" s="138"/>
      <c r="V266" s="138"/>
      <c r="W266" s="138"/>
      <c r="X266" s="138"/>
      <c r="Y266" s="138"/>
      <c r="Z266" s="138"/>
      <c r="AA266" s="138"/>
      <c r="AB266" s="138"/>
      <c r="AC266" s="138"/>
      <c r="AD266" s="138"/>
      <c r="AE266" s="138"/>
      <c r="AF266" s="138"/>
      <c r="AG266" s="138"/>
      <c r="AH266" s="138"/>
      <c r="AI266" s="138"/>
      <c r="AJ266" s="138"/>
    </row>
    <row r="267" spans="1:36" s="31" customFormat="1">
      <c r="A267" s="85">
        <f>IF(F267&lt;&gt;"",1+MAX($A$2:A266),"")</f>
        <v>169</v>
      </c>
      <c r="B267" s="217"/>
      <c r="C267" s="88"/>
      <c r="D267" s="78" t="s">
        <v>214</v>
      </c>
      <c r="E267" s="147">
        <v>175</v>
      </c>
      <c r="F267" s="61">
        <v>0.05</v>
      </c>
      <c r="G267" s="89">
        <f>E267*(1+F267)</f>
        <v>183.75</v>
      </c>
      <c r="H267" s="60" t="s">
        <v>38</v>
      </c>
      <c r="I267" s="104">
        <v>0.222</v>
      </c>
      <c r="J267" s="105">
        <f t="shared" si="199"/>
        <v>40.792499999999997</v>
      </c>
      <c r="K267" s="106">
        <f>'LABOR SHEET'!$C$3</f>
        <v>70</v>
      </c>
      <c r="L267" s="107">
        <f t="shared" si="200"/>
        <v>15.54</v>
      </c>
      <c r="M267" s="107">
        <f t="shared" si="201"/>
        <v>2855.4749999999999</v>
      </c>
      <c r="N267" s="107">
        <v>4.41</v>
      </c>
      <c r="O267" s="107">
        <f t="shared" si="202"/>
        <v>810.33749999999998</v>
      </c>
      <c r="P267" s="107">
        <f t="shared" si="203"/>
        <v>19.95</v>
      </c>
      <c r="Q267" s="131">
        <f t="shared" si="204"/>
        <v>3665.8125</v>
      </c>
      <c r="R267" s="138"/>
      <c r="S267" s="138"/>
      <c r="T267" s="138"/>
      <c r="U267" s="138"/>
      <c r="V267" s="138"/>
      <c r="W267" s="138"/>
      <c r="X267" s="138"/>
      <c r="Y267" s="138"/>
      <c r="Z267" s="138"/>
      <c r="AA267" s="138"/>
      <c r="AB267" s="138"/>
      <c r="AC267" s="138"/>
      <c r="AD267" s="138"/>
      <c r="AE267" s="138"/>
      <c r="AF267" s="138"/>
      <c r="AG267" s="138"/>
      <c r="AH267" s="138"/>
      <c r="AI267" s="138"/>
      <c r="AJ267" s="138"/>
    </row>
    <row r="268" spans="1:36" s="31" customFormat="1">
      <c r="A268" s="85"/>
      <c r="B268" s="217"/>
      <c r="C268" s="88"/>
      <c r="D268" s="78"/>
      <c r="E268" s="147"/>
      <c r="F268" s="61"/>
      <c r="G268" s="89"/>
      <c r="H268" s="60"/>
      <c r="I268" s="104"/>
      <c r="J268" s="105"/>
      <c r="K268" s="106"/>
      <c r="L268" s="107"/>
      <c r="M268" s="107"/>
      <c r="N268" s="107"/>
      <c r="O268" s="107"/>
      <c r="P268" s="107"/>
      <c r="Q268" s="131"/>
      <c r="R268" s="138"/>
      <c r="S268" s="138"/>
      <c r="T268" s="138"/>
      <c r="U268" s="138"/>
      <c r="V268" s="138"/>
      <c r="W268" s="138"/>
      <c r="X268" s="138"/>
      <c r="Y268" s="138"/>
      <c r="Z268" s="138"/>
      <c r="AA268" s="138"/>
      <c r="AB268" s="138"/>
      <c r="AC268" s="138"/>
      <c r="AD268" s="138"/>
      <c r="AE268" s="138"/>
      <c r="AF268" s="138"/>
      <c r="AG268" s="138"/>
      <c r="AH268" s="138"/>
      <c r="AI268" s="138"/>
      <c r="AJ268" s="138"/>
    </row>
    <row r="269" spans="1:36" s="31" customFormat="1">
      <c r="A269" s="85" t="str">
        <f>IF(F269&lt;&gt;"",1+MAX($A$2:A267),"")</f>
        <v/>
      </c>
      <c r="B269" s="217"/>
      <c r="C269" s="88"/>
      <c r="D269" s="97" t="s">
        <v>215</v>
      </c>
      <c r="E269" s="147"/>
      <c r="F269" s="90"/>
      <c r="G269" s="89"/>
      <c r="H269" s="60"/>
      <c r="I269" s="104"/>
      <c r="J269" s="105"/>
      <c r="K269" s="106"/>
      <c r="L269" s="107"/>
      <c r="M269" s="107"/>
      <c r="N269" s="107"/>
      <c r="O269" s="107"/>
      <c r="P269" s="107"/>
      <c r="Q269" s="131"/>
      <c r="R269" s="138"/>
      <c r="S269" s="138"/>
      <c r="T269" s="138"/>
      <c r="U269" s="138"/>
      <c r="V269" s="138"/>
      <c r="W269" s="138"/>
      <c r="X269" s="138"/>
      <c r="Y269" s="138"/>
      <c r="Z269" s="138"/>
      <c r="AA269" s="138"/>
      <c r="AB269" s="138"/>
      <c r="AC269" s="138"/>
      <c r="AD269" s="138"/>
      <c r="AE269" s="138"/>
      <c r="AF269" s="138"/>
      <c r="AG269" s="138"/>
      <c r="AH269" s="138"/>
      <c r="AI269" s="138"/>
      <c r="AJ269" s="138"/>
    </row>
    <row r="270" spans="1:36" s="31" customFormat="1">
      <c r="A270" s="85">
        <f>IF(F270&lt;&gt;"",1+MAX($A$2:A269),"")</f>
        <v>170</v>
      </c>
      <c r="B270" s="217"/>
      <c r="C270" s="88"/>
      <c r="D270" s="78" t="s">
        <v>216</v>
      </c>
      <c r="E270" s="147">
        <v>519</v>
      </c>
      <c r="F270" s="61">
        <v>0.05</v>
      </c>
      <c r="G270" s="89">
        <f>E270*(1+F270)</f>
        <v>544.95000000000005</v>
      </c>
      <c r="H270" s="60" t="s">
        <v>38</v>
      </c>
      <c r="I270" s="104">
        <v>0.27100000000000002</v>
      </c>
      <c r="J270" s="105">
        <f>+I270*G270</f>
        <v>147.68145000000001</v>
      </c>
      <c r="K270" s="106">
        <f>'LABOR SHEET'!$C$3</f>
        <v>70</v>
      </c>
      <c r="L270" s="107">
        <f>I270*K270</f>
        <v>18.97</v>
      </c>
      <c r="M270" s="107">
        <f>K270*J270</f>
        <v>10337.701499999999</v>
      </c>
      <c r="N270" s="107">
        <v>6.3</v>
      </c>
      <c r="O270" s="107">
        <f>N270*G270</f>
        <v>3433.1849999999999</v>
      </c>
      <c r="P270" s="107">
        <f>(I270*K270)+N270</f>
        <v>25.27</v>
      </c>
      <c r="Q270" s="131">
        <f>P270*G270</f>
        <v>13770.886500000001</v>
      </c>
      <c r="R270" s="138"/>
      <c r="S270" s="138"/>
      <c r="T270" s="138"/>
      <c r="U270" s="138"/>
      <c r="V270" s="138"/>
      <c r="W270" s="138"/>
      <c r="X270" s="138"/>
      <c r="Y270" s="138"/>
      <c r="Z270" s="138"/>
      <c r="AA270" s="138"/>
      <c r="AB270" s="138"/>
      <c r="AC270" s="138"/>
      <c r="AD270" s="138"/>
      <c r="AE270" s="138"/>
      <c r="AF270" s="138"/>
      <c r="AG270" s="138"/>
      <c r="AH270" s="138"/>
      <c r="AI270" s="138"/>
      <c r="AJ270" s="138"/>
    </row>
    <row r="271" spans="1:36" s="31" customFormat="1">
      <c r="A271" s="85"/>
      <c r="B271" s="217"/>
      <c r="C271" s="88"/>
      <c r="D271" s="78"/>
      <c r="E271" s="147"/>
      <c r="F271" s="61"/>
      <c r="G271" s="89"/>
      <c r="H271" s="60"/>
      <c r="I271" s="104"/>
      <c r="J271" s="105"/>
      <c r="K271" s="106"/>
      <c r="L271" s="107"/>
      <c r="M271" s="107"/>
      <c r="N271" s="107"/>
      <c r="O271" s="107"/>
      <c r="P271" s="107"/>
      <c r="Q271" s="131"/>
      <c r="R271" s="138"/>
      <c r="S271" s="138"/>
      <c r="T271" s="138"/>
      <c r="U271" s="138"/>
      <c r="V271" s="138"/>
      <c r="W271" s="138"/>
      <c r="X271" s="138"/>
      <c r="Y271" s="138"/>
      <c r="Z271" s="138"/>
      <c r="AA271" s="138"/>
      <c r="AB271" s="138"/>
      <c r="AC271" s="138"/>
      <c r="AD271" s="138"/>
      <c r="AE271" s="138"/>
      <c r="AF271" s="138"/>
      <c r="AG271" s="138"/>
      <c r="AH271" s="138"/>
      <c r="AI271" s="138"/>
      <c r="AJ271" s="138"/>
    </row>
    <row r="272" spans="1:36" s="31" customFormat="1">
      <c r="A272" s="85" t="str">
        <f>IF(F272&lt;&gt;"",1+MAX($A$2:A270),"")</f>
        <v/>
      </c>
      <c r="B272" s="217"/>
      <c r="C272" s="88"/>
      <c r="D272" s="97" t="s">
        <v>217</v>
      </c>
      <c r="E272" s="147"/>
      <c r="F272" s="90"/>
      <c r="G272" s="89"/>
      <c r="H272" s="60"/>
      <c r="I272" s="104"/>
      <c r="J272" s="105"/>
      <c r="K272" s="106"/>
      <c r="L272" s="107"/>
      <c r="M272" s="107"/>
      <c r="N272" s="107"/>
      <c r="O272" s="107"/>
      <c r="P272" s="107"/>
      <c r="Q272" s="131"/>
      <c r="R272" s="138"/>
      <c r="S272" s="138"/>
      <c r="T272" s="138"/>
      <c r="U272" s="138"/>
      <c r="V272" s="138"/>
      <c r="W272" s="138"/>
      <c r="X272" s="138"/>
      <c r="Y272" s="138"/>
      <c r="Z272" s="138"/>
      <c r="AA272" s="138"/>
      <c r="AB272" s="138"/>
      <c r="AC272" s="138"/>
      <c r="AD272" s="138"/>
      <c r="AE272" s="138"/>
      <c r="AF272" s="138"/>
      <c r="AG272" s="138"/>
      <c r="AH272" s="138"/>
      <c r="AI272" s="138"/>
      <c r="AJ272" s="138"/>
    </row>
    <row r="273" spans="1:36" s="31" customFormat="1">
      <c r="A273" s="85">
        <f>IF(F273&lt;&gt;"",1+MAX($A$2:A272),"")</f>
        <v>171</v>
      </c>
      <c r="B273" s="217"/>
      <c r="C273" s="88"/>
      <c r="D273" s="78" t="s">
        <v>218</v>
      </c>
      <c r="E273" s="147">
        <v>639</v>
      </c>
      <c r="F273" s="61">
        <v>0.05</v>
      </c>
      <c r="G273" s="89">
        <f>E273*(1+F273)</f>
        <v>670.95</v>
      </c>
      <c r="H273" s="60" t="s">
        <v>38</v>
      </c>
      <c r="I273" s="104">
        <v>0.33300000000000002</v>
      </c>
      <c r="J273" s="105">
        <f>+I273*G273</f>
        <v>223.42635000000001</v>
      </c>
      <c r="K273" s="106">
        <f>'LABOR SHEET'!$C$3</f>
        <v>70</v>
      </c>
      <c r="L273" s="107">
        <f>I273*K273</f>
        <v>23.31</v>
      </c>
      <c r="M273" s="107">
        <f>K273*J273</f>
        <v>15639.844499999999</v>
      </c>
      <c r="N273" s="107">
        <v>8</v>
      </c>
      <c r="O273" s="107">
        <f>N273*G273</f>
        <v>5367.6</v>
      </c>
      <c r="P273" s="107">
        <f>(I273*K273)+N273</f>
        <v>31.31</v>
      </c>
      <c r="Q273" s="131">
        <f>P273*G273</f>
        <v>21007.444500000001</v>
      </c>
      <c r="R273" s="138"/>
      <c r="S273" s="138"/>
      <c r="T273" s="138"/>
      <c r="U273" s="138"/>
      <c r="V273" s="138"/>
      <c r="W273" s="138"/>
      <c r="X273" s="138"/>
      <c r="Y273" s="138"/>
      <c r="Z273" s="138"/>
      <c r="AA273" s="138"/>
      <c r="AB273" s="138"/>
      <c r="AC273" s="138"/>
      <c r="AD273" s="138"/>
      <c r="AE273" s="138"/>
      <c r="AF273" s="138"/>
      <c r="AG273" s="138"/>
      <c r="AH273" s="138"/>
      <c r="AI273" s="138"/>
      <c r="AJ273" s="138"/>
    </row>
    <row r="274" spans="1:36" s="31" customFormat="1">
      <c r="A274" s="85"/>
      <c r="B274" s="217"/>
      <c r="C274" s="88"/>
      <c r="D274" s="78"/>
      <c r="E274" s="147"/>
      <c r="F274" s="61"/>
      <c r="G274" s="89"/>
      <c r="H274" s="60"/>
      <c r="I274" s="104"/>
      <c r="J274" s="105"/>
      <c r="K274" s="106"/>
      <c r="L274" s="107"/>
      <c r="M274" s="107"/>
      <c r="N274" s="107"/>
      <c r="O274" s="107"/>
      <c r="P274" s="107"/>
      <c r="Q274" s="131"/>
      <c r="R274" s="138"/>
      <c r="S274" s="138"/>
      <c r="T274" s="138"/>
      <c r="U274" s="138"/>
      <c r="V274" s="138"/>
      <c r="W274" s="138"/>
      <c r="X274" s="138"/>
      <c r="Y274" s="138"/>
      <c r="Z274" s="138"/>
      <c r="AA274" s="138"/>
      <c r="AB274" s="138"/>
      <c r="AC274" s="138"/>
      <c r="AD274" s="138"/>
      <c r="AE274" s="138"/>
      <c r="AF274" s="138"/>
      <c r="AG274" s="138"/>
      <c r="AH274" s="138"/>
      <c r="AI274" s="138"/>
      <c r="AJ274" s="138"/>
    </row>
    <row r="275" spans="1:36" s="31" customFormat="1">
      <c r="A275" s="85" t="str">
        <f>IF(F275&lt;&gt;"",1+MAX($A$2:A273),"")</f>
        <v/>
      </c>
      <c r="B275" s="217"/>
      <c r="C275" s="88"/>
      <c r="D275" s="97" t="s">
        <v>219</v>
      </c>
      <c r="E275" s="147"/>
      <c r="F275" s="90"/>
      <c r="G275" s="89"/>
      <c r="H275" s="60"/>
      <c r="I275" s="104"/>
      <c r="J275" s="105"/>
      <c r="K275" s="106"/>
      <c r="L275" s="107"/>
      <c r="M275" s="107"/>
      <c r="N275" s="107"/>
      <c r="O275" s="107"/>
      <c r="P275" s="107"/>
      <c r="Q275" s="131"/>
      <c r="R275" s="138"/>
      <c r="S275" s="138"/>
      <c r="T275" s="138"/>
      <c r="U275" s="138"/>
      <c r="V275" s="138"/>
      <c r="W275" s="138"/>
      <c r="X275" s="138"/>
      <c r="Y275" s="138"/>
      <c r="Z275" s="138"/>
      <c r="AA275" s="138"/>
      <c r="AB275" s="138"/>
      <c r="AC275" s="138"/>
      <c r="AD275" s="138"/>
      <c r="AE275" s="138"/>
      <c r="AF275" s="138"/>
      <c r="AG275" s="138"/>
      <c r="AH275" s="138"/>
      <c r="AI275" s="138"/>
      <c r="AJ275" s="138"/>
    </row>
    <row r="276" spans="1:36" s="31" customFormat="1">
      <c r="A276" s="85">
        <f>IF(F276&lt;&gt;"",1+MAX($A$2:A275),"")</f>
        <v>172</v>
      </c>
      <c r="B276" s="217"/>
      <c r="C276" s="88"/>
      <c r="D276" s="80" t="s">
        <v>220</v>
      </c>
      <c r="E276" s="62">
        <f>1861*2*3.5/27</f>
        <v>482.48148148148101</v>
      </c>
      <c r="F276" s="55">
        <v>0</v>
      </c>
      <c r="G276" s="89">
        <f t="shared" ref="G276:G278" si="205">E276*(1+F276)</f>
        <v>482.48148148148101</v>
      </c>
      <c r="H276" s="60" t="s">
        <v>52</v>
      </c>
      <c r="I276" s="104">
        <v>0.22</v>
      </c>
      <c r="J276" s="105">
        <f>+I276*G276</f>
        <v>106.14592592592599</v>
      </c>
      <c r="K276" s="106">
        <f>'LABOR SHEET'!$C$4</f>
        <v>45</v>
      </c>
      <c r="L276" s="107">
        <f>I276*K276</f>
        <v>9.9</v>
      </c>
      <c r="M276" s="107">
        <f>K276*J276</f>
        <v>4776.5666666666602</v>
      </c>
      <c r="N276" s="107">
        <v>5</v>
      </c>
      <c r="O276" s="107">
        <f>N276*G276</f>
        <v>2412.4074074074101</v>
      </c>
      <c r="P276" s="107">
        <f>(I276*K276)+N276</f>
        <v>14.9</v>
      </c>
      <c r="Q276" s="131">
        <f>P276*G276</f>
        <v>7188.9740740740699</v>
      </c>
      <c r="R276" s="138"/>
      <c r="S276" s="138"/>
      <c r="T276" s="138"/>
      <c r="U276" s="138"/>
      <c r="V276" s="138"/>
      <c r="W276" s="138"/>
      <c r="X276" s="138"/>
      <c r="Y276" s="138"/>
      <c r="Z276" s="138"/>
      <c r="AA276" s="138"/>
      <c r="AB276" s="138"/>
      <c r="AC276" s="138"/>
      <c r="AD276" s="138"/>
      <c r="AE276" s="138"/>
      <c r="AF276" s="138"/>
      <c r="AG276" s="138"/>
      <c r="AH276" s="138"/>
      <c r="AI276" s="138"/>
      <c r="AJ276" s="138"/>
    </row>
    <row r="277" spans="1:36" s="31" customFormat="1">
      <c r="A277" s="85">
        <f>IF(F277&lt;&gt;"",1+MAX($A$2:A276),"")</f>
        <v>173</v>
      </c>
      <c r="B277" s="217"/>
      <c r="C277" s="88"/>
      <c r="D277" s="80" t="s">
        <v>221</v>
      </c>
      <c r="E277" s="62">
        <f>1861*2*0.16/27</f>
        <v>22.056296296296299</v>
      </c>
      <c r="F277" s="55">
        <v>0.1</v>
      </c>
      <c r="G277" s="89">
        <f t="shared" si="205"/>
        <v>24.261925925925901</v>
      </c>
      <c r="H277" s="60" t="s">
        <v>52</v>
      </c>
      <c r="I277" s="104">
        <v>0.6</v>
      </c>
      <c r="J277" s="105">
        <f t="shared" ref="J277:J278" si="206">+I277*G277</f>
        <v>14.5571555555555</v>
      </c>
      <c r="K277" s="106">
        <f>'LABOR SHEET'!$C$3</f>
        <v>70</v>
      </c>
      <c r="L277" s="107">
        <f t="shared" ref="L277:L278" si="207">I277*K277</f>
        <v>42</v>
      </c>
      <c r="M277" s="107">
        <f t="shared" ref="M277:M278" si="208">K277*J277</f>
        <v>1019.00088888889</v>
      </c>
      <c r="N277" s="107">
        <v>38</v>
      </c>
      <c r="O277" s="107">
        <f t="shared" ref="O277:O278" si="209">N277*G277</f>
        <v>921.953185185184</v>
      </c>
      <c r="P277" s="107">
        <f t="shared" ref="P277:P278" si="210">(I277*K277)+N277</f>
        <v>80</v>
      </c>
      <c r="Q277" s="131">
        <f t="shared" ref="Q277:Q278" si="211">P277*G277</f>
        <v>1940.9540740740699</v>
      </c>
      <c r="R277" s="138"/>
      <c r="S277" s="138"/>
      <c r="T277" s="138"/>
      <c r="U277" s="138"/>
      <c r="V277" s="138"/>
      <c r="W277" s="138"/>
      <c r="X277" s="138"/>
      <c r="Y277" s="138"/>
      <c r="Z277" s="138"/>
      <c r="AA277" s="138"/>
      <c r="AB277" s="138"/>
      <c r="AC277" s="138"/>
      <c r="AD277" s="138"/>
      <c r="AE277" s="138"/>
      <c r="AF277" s="138"/>
      <c r="AG277" s="138"/>
      <c r="AH277" s="138"/>
      <c r="AI277" s="138"/>
      <c r="AJ277" s="138"/>
    </row>
    <row r="278" spans="1:36" s="31" customFormat="1">
      <c r="A278" s="85">
        <f>IF(F278&lt;&gt;"",1+MAX($A$2:A277),"")</f>
        <v>174</v>
      </c>
      <c r="B278" s="217"/>
      <c r="C278" s="88"/>
      <c r="D278" s="80" t="s">
        <v>222</v>
      </c>
      <c r="E278" s="62">
        <v>457</v>
      </c>
      <c r="F278" s="55">
        <v>0</v>
      </c>
      <c r="G278" s="89">
        <f t="shared" si="205"/>
        <v>457</v>
      </c>
      <c r="H278" s="60" t="s">
        <v>52</v>
      </c>
      <c r="I278" s="104">
        <v>0.2</v>
      </c>
      <c r="J278" s="105">
        <f t="shared" si="206"/>
        <v>91.4</v>
      </c>
      <c r="K278" s="106">
        <f>'LABOR SHEET'!$C$4</f>
        <v>45</v>
      </c>
      <c r="L278" s="107">
        <f t="shared" si="207"/>
        <v>9</v>
      </c>
      <c r="M278" s="107">
        <f t="shared" si="208"/>
        <v>4113</v>
      </c>
      <c r="N278" s="107">
        <v>5</v>
      </c>
      <c r="O278" s="107">
        <f t="shared" si="209"/>
        <v>2285</v>
      </c>
      <c r="P278" s="107">
        <f t="shared" si="210"/>
        <v>14</v>
      </c>
      <c r="Q278" s="131">
        <f t="shared" si="211"/>
        <v>6398</v>
      </c>
      <c r="R278" s="138"/>
      <c r="S278" s="138"/>
      <c r="T278" s="138"/>
      <c r="U278" s="138"/>
      <c r="V278" s="138"/>
      <c r="W278" s="138"/>
      <c r="X278" s="138"/>
      <c r="Y278" s="138"/>
      <c r="Z278" s="138"/>
      <c r="AA278" s="138"/>
      <c r="AB278" s="138"/>
      <c r="AC278" s="138"/>
      <c r="AD278" s="138"/>
      <c r="AE278" s="138"/>
      <c r="AF278" s="138"/>
      <c r="AG278" s="138"/>
      <c r="AH278" s="138"/>
      <c r="AI278" s="138"/>
      <c r="AJ278" s="138"/>
    </row>
    <row r="279" spans="1:36" s="31" customFormat="1">
      <c r="A279" s="85"/>
      <c r="B279" s="217"/>
      <c r="C279" s="88"/>
      <c r="D279" s="80"/>
      <c r="E279" s="62"/>
      <c r="F279" s="55"/>
      <c r="G279" s="89"/>
      <c r="H279" s="60"/>
      <c r="I279" s="104"/>
      <c r="J279" s="105"/>
      <c r="K279" s="106"/>
      <c r="L279" s="107"/>
      <c r="M279" s="107"/>
      <c r="N279" s="107"/>
      <c r="O279" s="107"/>
      <c r="P279" s="107"/>
      <c r="Q279" s="131"/>
      <c r="R279" s="138"/>
      <c r="S279" s="138"/>
      <c r="T279" s="138"/>
      <c r="U279" s="138"/>
      <c r="V279" s="138"/>
      <c r="W279" s="138"/>
      <c r="X279" s="138"/>
      <c r="Y279" s="138"/>
      <c r="Z279" s="138"/>
      <c r="AA279" s="138"/>
      <c r="AB279" s="138"/>
      <c r="AC279" s="138"/>
      <c r="AD279" s="138"/>
      <c r="AE279" s="138"/>
      <c r="AF279" s="138"/>
      <c r="AG279" s="138"/>
      <c r="AH279" s="138"/>
      <c r="AI279" s="138"/>
      <c r="AJ279" s="138"/>
    </row>
    <row r="280" spans="1:36" s="31" customFormat="1">
      <c r="A280" s="85" t="str">
        <f>IF(F280&lt;&gt;"",1+MAX($A$2:A278),"")</f>
        <v/>
      </c>
      <c r="B280" s="217"/>
      <c r="C280" s="88"/>
      <c r="D280" s="97" t="s">
        <v>223</v>
      </c>
      <c r="E280" s="60"/>
      <c r="F280" s="90"/>
      <c r="G280" s="89"/>
      <c r="H280" s="60"/>
      <c r="I280" s="104"/>
      <c r="J280" s="105"/>
      <c r="K280" s="106"/>
      <c r="L280" s="107"/>
      <c r="M280" s="107"/>
      <c r="N280" s="107"/>
      <c r="O280" s="107"/>
      <c r="P280" s="107"/>
      <c r="Q280" s="131"/>
      <c r="R280" s="138"/>
      <c r="S280" s="138"/>
      <c r="T280" s="138"/>
      <c r="U280" s="138"/>
      <c r="V280" s="138"/>
      <c r="W280" s="138"/>
      <c r="X280" s="138"/>
      <c r="Y280" s="138"/>
      <c r="Z280" s="138"/>
      <c r="AA280" s="138"/>
      <c r="AB280" s="138"/>
      <c r="AC280" s="138"/>
      <c r="AD280" s="138"/>
      <c r="AE280" s="138"/>
      <c r="AF280" s="138"/>
      <c r="AG280" s="138"/>
      <c r="AH280" s="138"/>
      <c r="AI280" s="138"/>
      <c r="AJ280" s="138"/>
    </row>
    <row r="281" spans="1:36" s="31" customFormat="1">
      <c r="A281" s="85">
        <f>IF(F281&lt;&gt;"",1+MAX($A$2:A280),"")</f>
        <v>175</v>
      </c>
      <c r="B281" s="217"/>
      <c r="C281" s="88"/>
      <c r="D281" s="80" t="s">
        <v>224</v>
      </c>
      <c r="E281" s="62">
        <f>2527*2*3.5/27</f>
        <v>655.14814814814804</v>
      </c>
      <c r="F281" s="55">
        <v>0</v>
      </c>
      <c r="G281" s="89">
        <f>E281*(1+F281)</f>
        <v>655.14814814814804</v>
      </c>
      <c r="H281" s="60" t="s">
        <v>52</v>
      </c>
      <c r="I281" s="104">
        <v>0.22</v>
      </c>
      <c r="J281" s="105">
        <f>+I281*G281</f>
        <v>144.132592592593</v>
      </c>
      <c r="K281" s="106">
        <f>'LABOR SHEET'!$C$4</f>
        <v>45</v>
      </c>
      <c r="L281" s="107">
        <f>I281*K281</f>
        <v>9.9</v>
      </c>
      <c r="M281" s="107">
        <f>K281*J281</f>
        <v>6485.9666666666699</v>
      </c>
      <c r="N281" s="107">
        <v>5</v>
      </c>
      <c r="O281" s="107">
        <f>N281*G281</f>
        <v>3275.74074074074</v>
      </c>
      <c r="P281" s="107">
        <f>(I281*K281)+N281</f>
        <v>14.9</v>
      </c>
      <c r="Q281" s="131">
        <f>P281*G281</f>
        <v>9761.7074074074098</v>
      </c>
      <c r="R281" s="138"/>
      <c r="S281" s="138"/>
      <c r="T281" s="138"/>
      <c r="U281" s="138"/>
      <c r="V281" s="138"/>
      <c r="W281" s="138"/>
      <c r="X281" s="138"/>
      <c r="Y281" s="138"/>
      <c r="Z281" s="138"/>
      <c r="AA281" s="138"/>
      <c r="AB281" s="138"/>
      <c r="AC281" s="138"/>
      <c r="AD281" s="138"/>
      <c r="AE281" s="138"/>
      <c r="AF281" s="138"/>
      <c r="AG281" s="138"/>
      <c r="AH281" s="138"/>
      <c r="AI281" s="138"/>
      <c r="AJ281" s="138"/>
    </row>
    <row r="282" spans="1:36" s="31" customFormat="1">
      <c r="A282" s="85">
        <f>IF(F282&lt;&gt;"",1+MAX($A$2:A281),"")</f>
        <v>176</v>
      </c>
      <c r="B282" s="217"/>
      <c r="C282" s="88"/>
      <c r="D282" s="80" t="s">
        <v>225</v>
      </c>
      <c r="E282" s="62">
        <f>2527*2*1.5/27</f>
        <v>280.777777777778</v>
      </c>
      <c r="F282" s="55">
        <v>0.1</v>
      </c>
      <c r="G282" s="89">
        <f>E282*(1+F282)</f>
        <v>308.85555555555601</v>
      </c>
      <c r="H282" s="60" t="s">
        <v>52</v>
      </c>
      <c r="I282" s="104">
        <v>0.6</v>
      </c>
      <c r="J282" s="105">
        <f>+I282*G282</f>
        <v>185.31333333333399</v>
      </c>
      <c r="K282" s="106">
        <f>'LABOR SHEET'!$C$3</f>
        <v>70</v>
      </c>
      <c r="L282" s="107">
        <f>I282*K282</f>
        <v>42</v>
      </c>
      <c r="M282" s="107">
        <f>K282*J282</f>
        <v>12971.9333333333</v>
      </c>
      <c r="N282" s="107">
        <v>38</v>
      </c>
      <c r="O282" s="107">
        <f>N282*G282</f>
        <v>11736.5111111111</v>
      </c>
      <c r="P282" s="107">
        <f>(I282*K282)+N282</f>
        <v>80</v>
      </c>
      <c r="Q282" s="131">
        <f>P282*G282</f>
        <v>24708.4444444445</v>
      </c>
      <c r="R282" s="138"/>
      <c r="S282" s="138"/>
      <c r="T282" s="138"/>
      <c r="U282" s="138"/>
      <c r="V282" s="138"/>
      <c r="W282" s="138"/>
      <c r="X282" s="138"/>
      <c r="Y282" s="138"/>
      <c r="Z282" s="138"/>
      <c r="AA282" s="138"/>
      <c r="AB282" s="138"/>
      <c r="AC282" s="138"/>
      <c r="AD282" s="138"/>
      <c r="AE282" s="138"/>
      <c r="AF282" s="138"/>
      <c r="AG282" s="138"/>
      <c r="AH282" s="138"/>
      <c r="AI282" s="138"/>
      <c r="AJ282" s="138"/>
    </row>
    <row r="283" spans="1:36" s="31" customFormat="1">
      <c r="A283" s="85">
        <f>IF(F283&lt;&gt;"",1+MAX($A$2:A282),"")</f>
        <v>177</v>
      </c>
      <c r="B283" s="217"/>
      <c r="C283" s="88"/>
      <c r="D283" s="80" t="s">
        <v>226</v>
      </c>
      <c r="E283" s="62">
        <v>183</v>
      </c>
      <c r="F283" s="55">
        <v>0.1</v>
      </c>
      <c r="G283" s="89">
        <f>E283*(1+F283)</f>
        <v>201.3</v>
      </c>
      <c r="H283" s="60" t="s">
        <v>52</v>
      </c>
      <c r="I283" s="104">
        <v>1</v>
      </c>
      <c r="J283" s="105">
        <f>+I283*G283</f>
        <v>201.3</v>
      </c>
      <c r="K283" s="106">
        <f>'LABOR SHEET'!$C$3</f>
        <v>70</v>
      </c>
      <c r="L283" s="107">
        <f>I283*K283</f>
        <v>70</v>
      </c>
      <c r="M283" s="107">
        <f>K283*J283</f>
        <v>14091</v>
      </c>
      <c r="N283" s="107">
        <v>76</v>
      </c>
      <c r="O283" s="107">
        <f>N283*G283</f>
        <v>15298.8</v>
      </c>
      <c r="P283" s="107">
        <f>(I283*K283)+N283</f>
        <v>146</v>
      </c>
      <c r="Q283" s="131">
        <f>P283*G283</f>
        <v>29389.8</v>
      </c>
      <c r="R283" s="138"/>
      <c r="S283" s="138"/>
      <c r="T283" s="138"/>
      <c r="U283" s="138"/>
      <c r="V283" s="138"/>
      <c r="W283" s="138"/>
      <c r="X283" s="138"/>
      <c r="Y283" s="138"/>
      <c r="Z283" s="138"/>
      <c r="AA283" s="138"/>
      <c r="AB283" s="138"/>
      <c r="AC283" s="138"/>
      <c r="AD283" s="138"/>
      <c r="AE283" s="138"/>
      <c r="AF283" s="138"/>
      <c r="AG283" s="138"/>
      <c r="AH283" s="138"/>
      <c r="AI283" s="138"/>
      <c r="AJ283" s="138"/>
    </row>
    <row r="284" spans="1:36" s="31" customFormat="1">
      <c r="A284" s="85">
        <f>IF(F284&lt;&gt;"",1+MAX($A$2:A283),"")</f>
        <v>178</v>
      </c>
      <c r="B284" s="217"/>
      <c r="C284" s="88"/>
      <c r="D284" s="80" t="s">
        <v>227</v>
      </c>
      <c r="E284" s="62">
        <f>2527*2*1/27</f>
        <v>187.18518518518499</v>
      </c>
      <c r="F284" s="55">
        <v>0</v>
      </c>
      <c r="G284" s="89">
        <f>E284*(1+F284)</f>
        <v>187.18518518518499</v>
      </c>
      <c r="H284" s="60" t="s">
        <v>52</v>
      </c>
      <c r="I284" s="104">
        <v>0.2</v>
      </c>
      <c r="J284" s="105">
        <f>+I284*G284</f>
        <v>37.437037037037001</v>
      </c>
      <c r="K284" s="106">
        <f>'LABOR SHEET'!$C$4</f>
        <v>45</v>
      </c>
      <c r="L284" s="107">
        <f>I284*K284</f>
        <v>9</v>
      </c>
      <c r="M284" s="107">
        <f>K284*J284</f>
        <v>1684.6666666666699</v>
      </c>
      <c r="N284" s="107">
        <v>5</v>
      </c>
      <c r="O284" s="107">
        <f>N284*G284</f>
        <v>935.92592592592496</v>
      </c>
      <c r="P284" s="107">
        <f>(I284*K284)+N284</f>
        <v>14</v>
      </c>
      <c r="Q284" s="131">
        <f>P284*G284</f>
        <v>2620.5925925925899</v>
      </c>
      <c r="R284" s="138"/>
      <c r="S284" s="138"/>
      <c r="T284" s="138"/>
      <c r="U284" s="138"/>
      <c r="V284" s="138"/>
      <c r="W284" s="138"/>
      <c r="X284" s="138"/>
      <c r="Y284" s="138"/>
      <c r="Z284" s="138"/>
      <c r="AA284" s="138"/>
      <c r="AB284" s="138"/>
      <c r="AC284" s="138"/>
      <c r="AD284" s="138"/>
      <c r="AE284" s="138"/>
      <c r="AF284" s="138"/>
      <c r="AG284" s="138"/>
      <c r="AH284" s="138"/>
      <c r="AI284" s="138"/>
      <c r="AJ284" s="138"/>
    </row>
    <row r="285" spans="1:36" s="31" customFormat="1">
      <c r="A285" s="85"/>
      <c r="B285" s="217"/>
      <c r="C285" s="88"/>
      <c r="D285" s="80"/>
      <c r="E285" s="62"/>
      <c r="F285" s="55"/>
      <c r="G285" s="89"/>
      <c r="H285" s="60"/>
      <c r="I285" s="104"/>
      <c r="J285" s="105"/>
      <c r="K285" s="106"/>
      <c r="L285" s="107"/>
      <c r="M285" s="107"/>
      <c r="N285" s="107"/>
      <c r="O285" s="107"/>
      <c r="P285" s="107"/>
      <c r="Q285" s="131"/>
      <c r="R285" s="138"/>
      <c r="S285" s="138"/>
      <c r="T285" s="138"/>
      <c r="U285" s="138"/>
      <c r="V285" s="138"/>
      <c r="W285" s="138"/>
      <c r="X285" s="138"/>
      <c r="Y285" s="138"/>
      <c r="Z285" s="138"/>
      <c r="AA285" s="138"/>
      <c r="AB285" s="138"/>
      <c r="AC285" s="138"/>
      <c r="AD285" s="138"/>
      <c r="AE285" s="138"/>
      <c r="AF285" s="138"/>
      <c r="AG285" s="138"/>
      <c r="AH285" s="138"/>
      <c r="AI285" s="138"/>
      <c r="AJ285" s="138"/>
    </row>
    <row r="286" spans="1:36" s="31" customFormat="1">
      <c r="A286" s="85" t="str">
        <f>IF(F286&lt;&gt;"",1+MAX($A$2:A284),"")</f>
        <v/>
      </c>
      <c r="B286" s="217"/>
      <c r="C286" s="88"/>
      <c r="D286" s="97" t="s">
        <v>228</v>
      </c>
      <c r="E286" s="60"/>
      <c r="F286" s="90"/>
      <c r="G286" s="89"/>
      <c r="H286" s="60"/>
      <c r="I286" s="104"/>
      <c r="J286" s="105"/>
      <c r="K286" s="106"/>
      <c r="L286" s="107"/>
      <c r="M286" s="107"/>
      <c r="N286" s="107"/>
      <c r="O286" s="107"/>
      <c r="P286" s="107"/>
      <c r="Q286" s="131"/>
      <c r="R286" s="138"/>
      <c r="S286" s="138"/>
      <c r="T286" s="138"/>
      <c r="U286" s="138"/>
      <c r="V286" s="138"/>
      <c r="W286" s="138"/>
      <c r="X286" s="138"/>
      <c r="Y286" s="138"/>
      <c r="Z286" s="138"/>
      <c r="AA286" s="138"/>
      <c r="AB286" s="138"/>
      <c r="AC286" s="138"/>
      <c r="AD286" s="138"/>
      <c r="AE286" s="138"/>
      <c r="AF286" s="138"/>
      <c r="AG286" s="138"/>
      <c r="AH286" s="138"/>
      <c r="AI286" s="138"/>
      <c r="AJ286" s="138"/>
    </row>
    <row r="287" spans="1:36" s="31" customFormat="1">
      <c r="A287" s="85">
        <f>IF(F287&lt;&gt;"",1+MAX($A$2:A286),"")</f>
        <v>179</v>
      </c>
      <c r="B287" s="217"/>
      <c r="C287" s="88"/>
      <c r="D287" s="80" t="s">
        <v>229</v>
      </c>
      <c r="E287" s="140">
        <f>0.67*94/27</f>
        <v>2.3325925925925901</v>
      </c>
      <c r="F287" s="55">
        <v>0.1</v>
      </c>
      <c r="G287" s="89">
        <f>E287*(1+F287)</f>
        <v>2.5658518518518498</v>
      </c>
      <c r="H287" s="60" t="s">
        <v>52</v>
      </c>
      <c r="I287" s="104">
        <v>1.2</v>
      </c>
      <c r="J287" s="105">
        <f>+I287*G287</f>
        <v>3.0790222222222199</v>
      </c>
      <c r="K287" s="106">
        <f>'LABOR SHEET'!$C$3</f>
        <v>70</v>
      </c>
      <c r="L287" s="107">
        <f>I287*K287</f>
        <v>84</v>
      </c>
      <c r="M287" s="107">
        <f>K287*J287</f>
        <v>215.531555555555</v>
      </c>
      <c r="N287" s="107">
        <v>58</v>
      </c>
      <c r="O287" s="107">
        <f>N287*G287</f>
        <v>148.819407407407</v>
      </c>
      <c r="P287" s="107">
        <f>(I287*K287)+N287</f>
        <v>142</v>
      </c>
      <c r="Q287" s="131">
        <f>P287*G287</f>
        <v>364.35096296296302</v>
      </c>
      <c r="R287" s="138"/>
      <c r="S287" s="138"/>
      <c r="T287" s="138"/>
      <c r="U287" s="138"/>
      <c r="V287" s="138"/>
      <c r="W287" s="138"/>
      <c r="X287" s="138"/>
      <c r="Y287" s="138"/>
      <c r="Z287" s="138"/>
      <c r="AA287" s="138"/>
      <c r="AB287" s="138"/>
      <c r="AC287" s="138"/>
      <c r="AD287" s="138"/>
      <c r="AE287" s="138"/>
      <c r="AF287" s="138"/>
      <c r="AG287" s="138"/>
      <c r="AH287" s="138"/>
      <c r="AI287" s="138"/>
      <c r="AJ287" s="138"/>
    </row>
    <row r="288" spans="1:36" s="31" customFormat="1">
      <c r="A288" s="85"/>
      <c r="B288" s="217"/>
      <c r="C288" s="88"/>
      <c r="D288" s="80"/>
      <c r="E288" s="140"/>
      <c r="F288" s="55"/>
      <c r="G288" s="89"/>
      <c r="H288" s="60"/>
      <c r="I288" s="104"/>
      <c r="J288" s="105"/>
      <c r="K288" s="106"/>
      <c r="L288" s="107"/>
      <c r="M288" s="107"/>
      <c r="N288" s="107"/>
      <c r="O288" s="107"/>
      <c r="P288" s="107"/>
      <c r="Q288" s="131"/>
      <c r="R288" s="138"/>
      <c r="S288" s="138"/>
      <c r="T288" s="138"/>
      <c r="U288" s="138"/>
      <c r="V288" s="138"/>
      <c r="W288" s="138"/>
      <c r="X288" s="138"/>
      <c r="Y288" s="138"/>
      <c r="Z288" s="138"/>
      <c r="AA288" s="138"/>
      <c r="AB288" s="138"/>
      <c r="AC288" s="138"/>
      <c r="AD288" s="138"/>
      <c r="AE288" s="138"/>
      <c r="AF288" s="138"/>
      <c r="AG288" s="138"/>
      <c r="AH288" s="138"/>
      <c r="AI288" s="138"/>
      <c r="AJ288" s="138"/>
    </row>
    <row r="289" spans="1:36" s="31" customFormat="1">
      <c r="A289" s="85" t="str">
        <f>IF(F289&lt;&gt;"",1+MAX($A$2:A287),"")</f>
        <v/>
      </c>
      <c r="B289" s="217"/>
      <c r="C289" s="88"/>
      <c r="D289" s="97" t="s">
        <v>146</v>
      </c>
      <c r="E289" s="60"/>
      <c r="F289" s="90"/>
      <c r="G289" s="89"/>
      <c r="H289" s="60"/>
      <c r="I289" s="104"/>
      <c r="J289" s="105"/>
      <c r="K289" s="106"/>
      <c r="L289" s="107"/>
      <c r="M289" s="107"/>
      <c r="N289" s="107"/>
      <c r="O289" s="107"/>
      <c r="P289" s="107"/>
      <c r="Q289" s="137"/>
      <c r="R289" s="138"/>
      <c r="S289" s="138"/>
      <c r="T289" s="138"/>
      <c r="U289" s="138"/>
      <c r="V289" s="138"/>
      <c r="W289" s="138"/>
      <c r="X289" s="138"/>
      <c r="Y289" s="138"/>
      <c r="Z289" s="138"/>
      <c r="AA289" s="138"/>
      <c r="AB289" s="138"/>
      <c r="AC289" s="138"/>
      <c r="AD289" s="138"/>
      <c r="AE289" s="138"/>
      <c r="AF289" s="138"/>
      <c r="AG289" s="138"/>
      <c r="AH289" s="138"/>
      <c r="AI289" s="138"/>
      <c r="AJ289" s="138"/>
    </row>
    <row r="290" spans="1:36" s="31" customFormat="1">
      <c r="A290" s="85">
        <f>IF(F290&lt;&gt;"",1+MAX($A$2:A289),"")</f>
        <v>180</v>
      </c>
      <c r="B290" s="217"/>
      <c r="C290" s="88"/>
      <c r="D290" s="78" t="s">
        <v>230</v>
      </c>
      <c r="E290" s="60">
        <v>3</v>
      </c>
      <c r="F290" s="90">
        <v>0</v>
      </c>
      <c r="G290" s="89">
        <f t="shared" ref="G290:G294" si="212">E290*(1+F290)</f>
        <v>3</v>
      </c>
      <c r="H290" s="60" t="s">
        <v>45</v>
      </c>
      <c r="I290" s="104">
        <v>0.5</v>
      </c>
      <c r="J290" s="105">
        <f t="shared" ref="J290:J301" si="213">+I290*G290</f>
        <v>1.5</v>
      </c>
      <c r="K290" s="106">
        <f>'LABOR SHEET'!$C$3</f>
        <v>70</v>
      </c>
      <c r="L290" s="107">
        <f t="shared" ref="L290:L301" si="214">I290*K290</f>
        <v>35</v>
      </c>
      <c r="M290" s="107">
        <f t="shared" ref="M290:M301" si="215">K290*J290</f>
        <v>105</v>
      </c>
      <c r="N290" s="107">
        <v>44</v>
      </c>
      <c r="O290" s="107">
        <f t="shared" ref="O290:O301" si="216">N290*G290</f>
        <v>132</v>
      </c>
      <c r="P290" s="107">
        <f t="shared" ref="P290:P301" si="217">(I290*K290)+N290</f>
        <v>79</v>
      </c>
      <c r="Q290" s="131">
        <f t="shared" ref="Q290:Q301" si="218">P290*G290</f>
        <v>237</v>
      </c>
      <c r="R290" s="138"/>
      <c r="S290" s="138"/>
      <c r="T290" s="138"/>
      <c r="U290" s="138"/>
      <c r="V290" s="138"/>
      <c r="W290" s="138"/>
      <c r="X290" s="138"/>
      <c r="Y290" s="138"/>
      <c r="Z290" s="138"/>
      <c r="AA290" s="138"/>
      <c r="AB290" s="138"/>
      <c r="AC290" s="138"/>
      <c r="AD290" s="138"/>
      <c r="AE290" s="138"/>
      <c r="AF290" s="138"/>
      <c r="AG290" s="138"/>
      <c r="AH290" s="138"/>
      <c r="AI290" s="138"/>
      <c r="AJ290" s="138"/>
    </row>
    <row r="291" spans="1:36" s="31" customFormat="1" ht="31.2">
      <c r="A291" s="85">
        <f>IF(F291&lt;&gt;"",1+MAX($A$2:A290),"")</f>
        <v>181</v>
      </c>
      <c r="B291" s="217"/>
      <c r="C291" s="88"/>
      <c r="D291" s="80" t="s">
        <v>231</v>
      </c>
      <c r="E291" s="60">
        <v>1</v>
      </c>
      <c r="F291" s="90">
        <v>0</v>
      </c>
      <c r="G291" s="89">
        <f t="shared" si="212"/>
        <v>1</v>
      </c>
      <c r="H291" s="60" t="s">
        <v>45</v>
      </c>
      <c r="I291" s="104">
        <v>3.5</v>
      </c>
      <c r="J291" s="105">
        <f t="shared" si="213"/>
        <v>3.5</v>
      </c>
      <c r="K291" s="106">
        <f>'LABOR SHEET'!$C$3</f>
        <v>70</v>
      </c>
      <c r="L291" s="107">
        <f t="shared" si="214"/>
        <v>245</v>
      </c>
      <c r="M291" s="107">
        <f t="shared" si="215"/>
        <v>245</v>
      </c>
      <c r="N291" s="107">
        <v>1788</v>
      </c>
      <c r="O291" s="107">
        <f t="shared" si="216"/>
        <v>1788</v>
      </c>
      <c r="P291" s="107">
        <f t="shared" si="217"/>
        <v>2033</v>
      </c>
      <c r="Q291" s="131">
        <f t="shared" si="218"/>
        <v>2033</v>
      </c>
      <c r="R291" s="138"/>
      <c r="S291" s="138"/>
      <c r="T291" s="138"/>
      <c r="U291" s="138"/>
      <c r="V291" s="138"/>
      <c r="W291" s="138"/>
      <c r="X291" s="138"/>
      <c r="Y291" s="138"/>
      <c r="Z291" s="138"/>
      <c r="AA291" s="138"/>
      <c r="AB291" s="138"/>
      <c r="AC291" s="138"/>
      <c r="AD291" s="138"/>
      <c r="AE291" s="138"/>
      <c r="AF291" s="138"/>
      <c r="AG291" s="138"/>
      <c r="AH291" s="138"/>
      <c r="AI291" s="138"/>
      <c r="AJ291" s="138"/>
    </row>
    <row r="292" spans="1:36" s="31" customFormat="1">
      <c r="A292" s="85">
        <f>IF(F292&lt;&gt;"",1+MAX($A$2:A291),"")</f>
        <v>182</v>
      </c>
      <c r="B292" s="217"/>
      <c r="C292" s="88"/>
      <c r="D292" s="78" t="s">
        <v>232</v>
      </c>
      <c r="E292" s="60">
        <v>1</v>
      </c>
      <c r="F292" s="90">
        <v>0</v>
      </c>
      <c r="G292" s="89">
        <f t="shared" si="212"/>
        <v>1</v>
      </c>
      <c r="H292" s="60" t="s">
        <v>45</v>
      </c>
      <c r="I292" s="104">
        <v>2.1</v>
      </c>
      <c r="J292" s="105">
        <f t="shared" si="213"/>
        <v>2.1</v>
      </c>
      <c r="K292" s="106">
        <f>'LABOR SHEET'!$C$3</f>
        <v>70</v>
      </c>
      <c r="L292" s="107">
        <f t="shared" si="214"/>
        <v>147</v>
      </c>
      <c r="M292" s="107">
        <f t="shared" si="215"/>
        <v>147</v>
      </c>
      <c r="N292" s="107">
        <v>233.49</v>
      </c>
      <c r="O292" s="107">
        <f t="shared" si="216"/>
        <v>233.49</v>
      </c>
      <c r="P292" s="107">
        <f t="shared" si="217"/>
        <v>380.49</v>
      </c>
      <c r="Q292" s="131">
        <f t="shared" si="218"/>
        <v>380.49</v>
      </c>
      <c r="R292" s="138"/>
      <c r="S292" s="138"/>
      <c r="T292" s="138"/>
      <c r="U292" s="138"/>
      <c r="V292" s="138"/>
      <c r="W292" s="138"/>
      <c r="X292" s="138"/>
      <c r="Y292" s="138"/>
      <c r="Z292" s="138"/>
      <c r="AA292" s="138"/>
      <c r="AB292" s="138"/>
      <c r="AC292" s="138"/>
      <c r="AD292" s="138"/>
      <c r="AE292" s="138"/>
      <c r="AF292" s="138"/>
      <c r="AG292" s="138"/>
      <c r="AH292" s="138"/>
      <c r="AI292" s="138"/>
      <c r="AJ292" s="138"/>
    </row>
    <row r="293" spans="1:36" s="31" customFormat="1">
      <c r="A293" s="85">
        <f>IF(F293&lt;&gt;"",1+MAX($A$2:A292),"")</f>
        <v>183</v>
      </c>
      <c r="B293" s="217"/>
      <c r="C293" s="88"/>
      <c r="D293" s="78" t="s">
        <v>233</v>
      </c>
      <c r="E293" s="60">
        <v>2</v>
      </c>
      <c r="F293" s="90">
        <v>0</v>
      </c>
      <c r="G293" s="89">
        <f t="shared" si="212"/>
        <v>2</v>
      </c>
      <c r="H293" s="60" t="s">
        <v>45</v>
      </c>
      <c r="I293" s="104">
        <v>0.5</v>
      </c>
      <c r="J293" s="105">
        <f t="shared" si="213"/>
        <v>1</v>
      </c>
      <c r="K293" s="106">
        <f>'LABOR SHEET'!$C$3</f>
        <v>70</v>
      </c>
      <c r="L293" s="107">
        <f t="shared" si="214"/>
        <v>35</v>
      </c>
      <c r="M293" s="107">
        <f t="shared" si="215"/>
        <v>70</v>
      </c>
      <c r="N293" s="107">
        <v>44</v>
      </c>
      <c r="O293" s="107">
        <f t="shared" si="216"/>
        <v>88</v>
      </c>
      <c r="P293" s="107">
        <f t="shared" si="217"/>
        <v>79</v>
      </c>
      <c r="Q293" s="131">
        <f t="shared" si="218"/>
        <v>158</v>
      </c>
      <c r="R293" s="138"/>
      <c r="S293" s="138"/>
      <c r="T293" s="138"/>
      <c r="U293" s="138"/>
      <c r="V293" s="138"/>
      <c r="W293" s="138"/>
      <c r="X293" s="138"/>
      <c r="Y293" s="138"/>
      <c r="Z293" s="138"/>
      <c r="AA293" s="138"/>
      <c r="AB293" s="138"/>
      <c r="AC293" s="138"/>
      <c r="AD293" s="138"/>
      <c r="AE293" s="138"/>
      <c r="AF293" s="138"/>
      <c r="AG293" s="138"/>
      <c r="AH293" s="138"/>
      <c r="AI293" s="138"/>
      <c r="AJ293" s="138"/>
    </row>
    <row r="294" spans="1:36" s="31" customFormat="1">
      <c r="A294" s="85">
        <f>IF(F294&lt;&gt;"",1+MAX($A$2:A293),"")</f>
        <v>184</v>
      </c>
      <c r="B294" s="217"/>
      <c r="C294" s="88"/>
      <c r="D294" s="78" t="s">
        <v>234</v>
      </c>
      <c r="E294" s="60">
        <v>4</v>
      </c>
      <c r="F294" s="90">
        <v>0</v>
      </c>
      <c r="G294" s="89">
        <f t="shared" si="212"/>
        <v>4</v>
      </c>
      <c r="H294" s="60" t="s">
        <v>45</v>
      </c>
      <c r="I294" s="104">
        <v>0.5</v>
      </c>
      <c r="J294" s="105">
        <f t="shared" si="213"/>
        <v>2</v>
      </c>
      <c r="K294" s="106">
        <f>'LABOR SHEET'!$C$3</f>
        <v>70</v>
      </c>
      <c r="L294" s="107">
        <f t="shared" si="214"/>
        <v>35</v>
      </c>
      <c r="M294" s="107">
        <f t="shared" si="215"/>
        <v>140</v>
      </c>
      <c r="N294" s="107">
        <v>44</v>
      </c>
      <c r="O294" s="107">
        <f t="shared" si="216"/>
        <v>176</v>
      </c>
      <c r="P294" s="107">
        <f t="shared" si="217"/>
        <v>79</v>
      </c>
      <c r="Q294" s="131">
        <f t="shared" si="218"/>
        <v>316</v>
      </c>
      <c r="R294" s="138"/>
      <c r="S294" s="138"/>
      <c r="T294" s="138"/>
      <c r="U294" s="138"/>
      <c r="V294" s="138"/>
      <c r="W294" s="138"/>
      <c r="X294" s="138"/>
      <c r="Y294" s="138"/>
      <c r="Z294" s="138"/>
      <c r="AA294" s="138"/>
      <c r="AB294" s="138"/>
      <c r="AC294" s="138"/>
      <c r="AD294" s="138"/>
      <c r="AE294" s="138"/>
      <c r="AF294" s="138"/>
      <c r="AG294" s="138"/>
      <c r="AH294" s="138"/>
      <c r="AI294" s="138"/>
      <c r="AJ294" s="138"/>
    </row>
    <row r="295" spans="1:36" s="31" customFormat="1">
      <c r="A295" s="85">
        <f>IF(F295&lt;&gt;"",1+MAX($A$2:A294),"")</f>
        <v>185</v>
      </c>
      <c r="B295" s="217"/>
      <c r="C295" s="88"/>
      <c r="D295" s="78" t="s">
        <v>235</v>
      </c>
      <c r="E295" s="60">
        <v>3</v>
      </c>
      <c r="F295" s="90">
        <v>0</v>
      </c>
      <c r="G295" s="89">
        <f t="shared" ref="G295:G315" si="219">E295*(1+F295)</f>
        <v>3</v>
      </c>
      <c r="H295" s="60" t="s">
        <v>45</v>
      </c>
      <c r="I295" s="104">
        <v>0.7</v>
      </c>
      <c r="J295" s="105">
        <f t="shared" si="213"/>
        <v>2.1</v>
      </c>
      <c r="K295" s="106">
        <f>'LABOR SHEET'!$C$3</f>
        <v>70</v>
      </c>
      <c r="L295" s="107">
        <f t="shared" si="214"/>
        <v>49</v>
      </c>
      <c r="M295" s="107">
        <f t="shared" si="215"/>
        <v>147</v>
      </c>
      <c r="N295" s="107">
        <v>100</v>
      </c>
      <c r="O295" s="107">
        <f t="shared" si="216"/>
        <v>300</v>
      </c>
      <c r="P295" s="107">
        <f t="shared" si="217"/>
        <v>149</v>
      </c>
      <c r="Q295" s="131">
        <f t="shared" si="218"/>
        <v>447</v>
      </c>
      <c r="R295" s="138"/>
      <c r="S295" s="138"/>
      <c r="T295" s="138"/>
      <c r="U295" s="138"/>
      <c r="V295" s="138"/>
      <c r="W295" s="138"/>
      <c r="X295" s="138"/>
      <c r="Y295" s="138"/>
      <c r="Z295" s="138"/>
      <c r="AA295" s="138"/>
      <c r="AB295" s="138"/>
      <c r="AC295" s="138"/>
      <c r="AD295" s="138"/>
      <c r="AE295" s="138"/>
      <c r="AF295" s="138"/>
      <c r="AG295" s="138"/>
      <c r="AH295" s="138"/>
      <c r="AI295" s="138"/>
      <c r="AJ295" s="138"/>
    </row>
    <row r="296" spans="1:36" s="31" customFormat="1">
      <c r="A296" s="85">
        <f>IF(F296&lt;&gt;"",1+MAX($A$2:A295),"")</f>
        <v>186</v>
      </c>
      <c r="B296" s="217"/>
      <c r="C296" s="88"/>
      <c r="D296" s="78" t="s">
        <v>236</v>
      </c>
      <c r="E296" s="60">
        <v>5</v>
      </c>
      <c r="F296" s="90">
        <v>0</v>
      </c>
      <c r="G296" s="89">
        <f t="shared" si="219"/>
        <v>5</v>
      </c>
      <c r="H296" s="60" t="s">
        <v>45</v>
      </c>
      <c r="I296" s="104">
        <v>0.5</v>
      </c>
      <c r="J296" s="105">
        <f t="shared" si="213"/>
        <v>2.5</v>
      </c>
      <c r="K296" s="106">
        <f>'LABOR SHEET'!$C$3</f>
        <v>70</v>
      </c>
      <c r="L296" s="107">
        <f t="shared" si="214"/>
        <v>35</v>
      </c>
      <c r="M296" s="107">
        <f t="shared" si="215"/>
        <v>175</v>
      </c>
      <c r="N296" s="107">
        <v>44</v>
      </c>
      <c r="O296" s="107">
        <f t="shared" si="216"/>
        <v>220</v>
      </c>
      <c r="P296" s="107">
        <f t="shared" si="217"/>
        <v>79</v>
      </c>
      <c r="Q296" s="131">
        <f t="shared" si="218"/>
        <v>395</v>
      </c>
      <c r="R296" s="138"/>
      <c r="S296" s="138"/>
      <c r="T296" s="138"/>
      <c r="U296" s="138"/>
      <c r="V296" s="138"/>
      <c r="W296" s="138"/>
      <c r="X296" s="138"/>
      <c r="Y296" s="138"/>
      <c r="Z296" s="138"/>
      <c r="AA296" s="138"/>
      <c r="AB296" s="138"/>
      <c r="AC296" s="138"/>
      <c r="AD296" s="138"/>
      <c r="AE296" s="138"/>
      <c r="AF296" s="138"/>
      <c r="AG296" s="138"/>
      <c r="AH296" s="138"/>
      <c r="AI296" s="138"/>
      <c r="AJ296" s="138"/>
    </row>
    <row r="297" spans="1:36" s="31" customFormat="1">
      <c r="A297" s="85">
        <f>IF(F297&lt;&gt;"",1+MAX($A$2:A296),"")</f>
        <v>187</v>
      </c>
      <c r="B297" s="217"/>
      <c r="C297" s="88"/>
      <c r="D297" s="78" t="s">
        <v>237</v>
      </c>
      <c r="E297" s="60">
        <v>4</v>
      </c>
      <c r="F297" s="90">
        <v>0</v>
      </c>
      <c r="G297" s="89">
        <f t="shared" si="219"/>
        <v>4</v>
      </c>
      <c r="H297" s="60" t="s">
        <v>45</v>
      </c>
      <c r="I297" s="104">
        <v>0.5</v>
      </c>
      <c r="J297" s="105">
        <f t="shared" si="213"/>
        <v>2</v>
      </c>
      <c r="K297" s="106">
        <f>'LABOR SHEET'!$C$3</f>
        <v>70</v>
      </c>
      <c r="L297" s="107">
        <f t="shared" si="214"/>
        <v>35</v>
      </c>
      <c r="M297" s="107">
        <f t="shared" si="215"/>
        <v>140</v>
      </c>
      <c r="N297" s="107">
        <v>44</v>
      </c>
      <c r="O297" s="107">
        <f t="shared" si="216"/>
        <v>176</v>
      </c>
      <c r="P297" s="107">
        <f t="shared" si="217"/>
        <v>79</v>
      </c>
      <c r="Q297" s="131">
        <f t="shared" si="218"/>
        <v>316</v>
      </c>
      <c r="R297" s="138"/>
      <c r="S297" s="138"/>
      <c r="T297" s="138"/>
      <c r="U297" s="138"/>
      <c r="V297" s="138"/>
      <c r="W297" s="138"/>
      <c r="X297" s="138"/>
      <c r="Y297" s="138"/>
      <c r="Z297" s="138"/>
      <c r="AA297" s="138"/>
      <c r="AB297" s="138"/>
      <c r="AC297" s="138"/>
      <c r="AD297" s="138"/>
      <c r="AE297" s="138"/>
      <c r="AF297" s="138"/>
      <c r="AG297" s="138"/>
      <c r="AH297" s="138"/>
      <c r="AI297" s="138"/>
      <c r="AJ297" s="138"/>
    </row>
    <row r="298" spans="1:36" s="31" customFormat="1">
      <c r="A298" s="85">
        <f>IF(F298&lt;&gt;"",1+MAX($A$2:A297),"")</f>
        <v>188</v>
      </c>
      <c r="B298" s="217"/>
      <c r="C298" s="88"/>
      <c r="D298" s="78" t="s">
        <v>238</v>
      </c>
      <c r="E298" s="60">
        <v>1</v>
      </c>
      <c r="F298" s="90">
        <v>0</v>
      </c>
      <c r="G298" s="89">
        <f t="shared" si="219"/>
        <v>1</v>
      </c>
      <c r="H298" s="60" t="s">
        <v>45</v>
      </c>
      <c r="I298" s="104">
        <v>0.7</v>
      </c>
      <c r="J298" s="105">
        <f t="shared" si="213"/>
        <v>0.7</v>
      </c>
      <c r="K298" s="106">
        <f>'LABOR SHEET'!$C$3</f>
        <v>70</v>
      </c>
      <c r="L298" s="107">
        <f t="shared" si="214"/>
        <v>49</v>
      </c>
      <c r="M298" s="107">
        <f t="shared" si="215"/>
        <v>49</v>
      </c>
      <c r="N298" s="107">
        <v>100</v>
      </c>
      <c r="O298" s="107">
        <f t="shared" si="216"/>
        <v>100</v>
      </c>
      <c r="P298" s="107">
        <f t="shared" si="217"/>
        <v>149</v>
      </c>
      <c r="Q298" s="131">
        <f t="shared" si="218"/>
        <v>149</v>
      </c>
      <c r="R298" s="138"/>
      <c r="S298" s="138"/>
      <c r="T298" s="138"/>
      <c r="U298" s="138"/>
      <c r="V298" s="138"/>
      <c r="W298" s="138"/>
      <c r="X298" s="138"/>
      <c r="Y298" s="138"/>
      <c r="Z298" s="138"/>
      <c r="AA298" s="138"/>
      <c r="AB298" s="138"/>
      <c r="AC298" s="138"/>
      <c r="AD298" s="138"/>
      <c r="AE298" s="138"/>
      <c r="AF298" s="138"/>
      <c r="AG298" s="138"/>
      <c r="AH298" s="138"/>
      <c r="AI298" s="138"/>
      <c r="AJ298" s="138"/>
    </row>
    <row r="299" spans="1:36" s="31" customFormat="1">
      <c r="A299" s="85">
        <f>IF(F299&lt;&gt;"",1+MAX($A$2:A298),"")</f>
        <v>189</v>
      </c>
      <c r="B299" s="217"/>
      <c r="C299" s="88"/>
      <c r="D299" s="78" t="s">
        <v>239</v>
      </c>
      <c r="E299" s="60">
        <v>8</v>
      </c>
      <c r="F299" s="90">
        <v>0</v>
      </c>
      <c r="G299" s="89">
        <f t="shared" si="219"/>
        <v>8</v>
      </c>
      <c r="H299" s="60" t="s">
        <v>45</v>
      </c>
      <c r="I299" s="104">
        <v>0.5</v>
      </c>
      <c r="J299" s="105">
        <f t="shared" si="213"/>
        <v>4</v>
      </c>
      <c r="K299" s="106">
        <f>'LABOR SHEET'!$C$3</f>
        <v>70</v>
      </c>
      <c r="L299" s="107">
        <f t="shared" si="214"/>
        <v>35</v>
      </c>
      <c r="M299" s="107">
        <f t="shared" si="215"/>
        <v>280</v>
      </c>
      <c r="N299" s="107">
        <v>44</v>
      </c>
      <c r="O299" s="107">
        <f t="shared" si="216"/>
        <v>352</v>
      </c>
      <c r="P299" s="107">
        <f t="shared" si="217"/>
        <v>79</v>
      </c>
      <c r="Q299" s="131">
        <f t="shared" si="218"/>
        <v>632</v>
      </c>
      <c r="R299" s="138"/>
      <c r="S299" s="138"/>
      <c r="T299" s="138"/>
      <c r="U299" s="138"/>
      <c r="V299" s="138"/>
      <c r="W299" s="138"/>
      <c r="X299" s="138"/>
      <c r="Y299" s="138"/>
      <c r="Z299" s="138"/>
      <c r="AA299" s="138"/>
      <c r="AB299" s="138"/>
      <c r="AC299" s="138"/>
      <c r="AD299" s="138"/>
      <c r="AE299" s="138"/>
      <c r="AF299" s="138"/>
      <c r="AG299" s="138"/>
      <c r="AH299" s="138"/>
      <c r="AI299" s="138"/>
      <c r="AJ299" s="138"/>
    </row>
    <row r="300" spans="1:36" s="31" customFormat="1">
      <c r="A300" s="85">
        <f>IF(F300&lt;&gt;"",1+MAX($A$2:A299),"")</f>
        <v>190</v>
      </c>
      <c r="B300" s="217"/>
      <c r="C300" s="88"/>
      <c r="D300" s="78" t="s">
        <v>240</v>
      </c>
      <c r="E300" s="60">
        <v>20</v>
      </c>
      <c r="F300" s="90">
        <v>0</v>
      </c>
      <c r="G300" s="89">
        <f t="shared" si="219"/>
        <v>20</v>
      </c>
      <c r="H300" s="60" t="s">
        <v>45</v>
      </c>
      <c r="I300" s="104">
        <f>0.4</f>
        <v>0.4</v>
      </c>
      <c r="J300" s="105">
        <f t="shared" si="213"/>
        <v>8</v>
      </c>
      <c r="K300" s="106">
        <f>'LABOR SHEET'!$C$3</f>
        <v>70</v>
      </c>
      <c r="L300" s="107">
        <f t="shared" si="214"/>
        <v>28</v>
      </c>
      <c r="M300" s="107">
        <f t="shared" si="215"/>
        <v>560</v>
      </c>
      <c r="N300" s="107">
        <f>20+10</f>
        <v>30</v>
      </c>
      <c r="O300" s="107">
        <f t="shared" si="216"/>
        <v>600</v>
      </c>
      <c r="P300" s="107">
        <f t="shared" si="217"/>
        <v>58</v>
      </c>
      <c r="Q300" s="131">
        <f t="shared" si="218"/>
        <v>1160</v>
      </c>
      <c r="R300" s="138"/>
      <c r="S300" s="138"/>
      <c r="T300" s="138"/>
      <c r="U300" s="138"/>
      <c r="V300" s="138"/>
      <c r="W300" s="138"/>
      <c r="X300" s="138"/>
      <c r="Y300" s="138"/>
      <c r="Z300" s="138"/>
      <c r="AA300" s="138"/>
      <c r="AB300" s="138"/>
      <c r="AC300" s="138"/>
      <c r="AD300" s="138"/>
      <c r="AE300" s="138"/>
      <c r="AF300" s="138"/>
      <c r="AG300" s="138"/>
      <c r="AH300" s="138"/>
      <c r="AI300" s="138"/>
      <c r="AJ300" s="138"/>
    </row>
    <row r="301" spans="1:36" s="31" customFormat="1">
      <c r="A301" s="85">
        <f>IF(F301&lt;&gt;"",1+MAX($A$2:A300),"")</f>
        <v>191</v>
      </c>
      <c r="B301" s="217"/>
      <c r="C301" s="88"/>
      <c r="D301" s="78" t="s">
        <v>241</v>
      </c>
      <c r="E301" s="60">
        <v>4</v>
      </c>
      <c r="F301" s="90">
        <v>0</v>
      </c>
      <c r="G301" s="89">
        <f t="shared" si="219"/>
        <v>4</v>
      </c>
      <c r="H301" s="60" t="s">
        <v>45</v>
      </c>
      <c r="I301" s="104">
        <v>0.57999999999999996</v>
      </c>
      <c r="J301" s="105">
        <f t="shared" si="213"/>
        <v>2.3199999999999998</v>
      </c>
      <c r="K301" s="106">
        <f>'LABOR SHEET'!$C$3</f>
        <v>70</v>
      </c>
      <c r="L301" s="107">
        <f t="shared" si="214"/>
        <v>40.6</v>
      </c>
      <c r="M301" s="107">
        <f t="shared" si="215"/>
        <v>162.4</v>
      </c>
      <c r="N301" s="107">
        <v>70</v>
      </c>
      <c r="O301" s="107">
        <f t="shared" si="216"/>
        <v>280</v>
      </c>
      <c r="P301" s="107">
        <f t="shared" si="217"/>
        <v>110.6</v>
      </c>
      <c r="Q301" s="131">
        <f t="shared" si="218"/>
        <v>442.4</v>
      </c>
      <c r="R301" s="138"/>
      <c r="S301" s="138"/>
      <c r="T301" s="138"/>
      <c r="U301" s="138"/>
      <c r="V301" s="138"/>
      <c r="W301" s="138"/>
      <c r="X301" s="138"/>
      <c r="Y301" s="138"/>
      <c r="Z301" s="138"/>
      <c r="AA301" s="138"/>
      <c r="AB301" s="138"/>
      <c r="AC301" s="138"/>
      <c r="AD301" s="138"/>
      <c r="AE301" s="138"/>
      <c r="AF301" s="138"/>
      <c r="AG301" s="138"/>
      <c r="AH301" s="138"/>
      <c r="AI301" s="138"/>
      <c r="AJ301" s="138"/>
    </row>
    <row r="302" spans="1:36" s="31" customFormat="1" ht="31.2">
      <c r="A302" s="85">
        <f>IF(F302&lt;&gt;"",1+MAX($A$2:A301),"")</f>
        <v>192</v>
      </c>
      <c r="B302" s="217"/>
      <c r="C302" s="88"/>
      <c r="D302" s="80" t="s">
        <v>242</v>
      </c>
      <c r="E302" s="60">
        <v>4</v>
      </c>
      <c r="F302" s="90">
        <v>0</v>
      </c>
      <c r="G302" s="89">
        <f t="shared" si="219"/>
        <v>4</v>
      </c>
      <c r="H302" s="60" t="s">
        <v>45</v>
      </c>
      <c r="I302" s="104">
        <v>1</v>
      </c>
      <c r="J302" s="105">
        <f t="shared" ref="J302:J307" si="220">+I302*G302</f>
        <v>4</v>
      </c>
      <c r="K302" s="106">
        <f>'LABOR SHEET'!$C$3</f>
        <v>70</v>
      </c>
      <c r="L302" s="107">
        <f t="shared" ref="L302:L307" si="221">I302*K302</f>
        <v>70</v>
      </c>
      <c r="M302" s="107">
        <f t="shared" ref="M302:M307" si="222">K302*J302</f>
        <v>280</v>
      </c>
      <c r="N302" s="107">
        <v>42</v>
      </c>
      <c r="O302" s="107">
        <f t="shared" ref="O302:O307" si="223">N302*G302</f>
        <v>168</v>
      </c>
      <c r="P302" s="107">
        <f t="shared" ref="P302:P307" si="224">(I302*K302)+N302</f>
        <v>112</v>
      </c>
      <c r="Q302" s="131">
        <f t="shared" ref="Q302:Q307" si="225">P302*G302</f>
        <v>448</v>
      </c>
      <c r="R302" s="138"/>
      <c r="S302" s="138"/>
      <c r="T302" s="138"/>
      <c r="U302" s="138"/>
      <c r="V302" s="138"/>
      <c r="W302" s="138"/>
      <c r="X302" s="138"/>
      <c r="Y302" s="138"/>
      <c r="Z302" s="138"/>
      <c r="AA302" s="138"/>
      <c r="AB302" s="138"/>
      <c r="AC302" s="138"/>
      <c r="AD302" s="138"/>
      <c r="AE302" s="138"/>
      <c r="AF302" s="138"/>
      <c r="AG302" s="138"/>
      <c r="AH302" s="138"/>
      <c r="AI302" s="138"/>
      <c r="AJ302" s="138"/>
    </row>
    <row r="303" spans="1:36" s="31" customFormat="1">
      <c r="A303" s="85">
        <f>IF(F303&lt;&gt;"",1+MAX($A$2:A302),"")</f>
        <v>193</v>
      </c>
      <c r="B303" s="217"/>
      <c r="C303" s="88"/>
      <c r="D303" s="78" t="s">
        <v>243</v>
      </c>
      <c r="E303" s="60">
        <v>1</v>
      </c>
      <c r="F303" s="90">
        <v>0</v>
      </c>
      <c r="G303" s="89">
        <f t="shared" si="219"/>
        <v>1</v>
      </c>
      <c r="H303" s="60" t="s">
        <v>45</v>
      </c>
      <c r="I303" s="104">
        <v>4.5250000000000004</v>
      </c>
      <c r="J303" s="105">
        <f t="shared" si="220"/>
        <v>4.5250000000000004</v>
      </c>
      <c r="K303" s="106">
        <f>'LABOR SHEET'!$C$3</f>
        <v>70</v>
      </c>
      <c r="L303" s="107">
        <f t="shared" si="221"/>
        <v>316.75</v>
      </c>
      <c r="M303" s="107">
        <f t="shared" si="222"/>
        <v>316.75</v>
      </c>
      <c r="N303" s="107">
        <v>650</v>
      </c>
      <c r="O303" s="107">
        <f t="shared" si="223"/>
        <v>650</v>
      </c>
      <c r="P303" s="107">
        <f t="shared" si="224"/>
        <v>966.75</v>
      </c>
      <c r="Q303" s="131">
        <f t="shared" si="225"/>
        <v>966.75</v>
      </c>
      <c r="R303" s="138"/>
      <c r="S303" s="138"/>
      <c r="T303" s="138"/>
      <c r="U303" s="138"/>
      <c r="V303" s="138"/>
      <c r="W303" s="138"/>
      <c r="X303" s="138"/>
      <c r="Y303" s="138"/>
      <c r="Z303" s="138"/>
      <c r="AA303" s="138"/>
      <c r="AB303" s="138"/>
      <c r="AC303" s="138"/>
      <c r="AD303" s="138"/>
      <c r="AE303" s="138"/>
      <c r="AF303" s="138"/>
      <c r="AG303" s="138"/>
      <c r="AH303" s="138"/>
      <c r="AI303" s="138"/>
      <c r="AJ303" s="138"/>
    </row>
    <row r="304" spans="1:36" s="31" customFormat="1">
      <c r="A304" s="85">
        <f>IF(F304&lt;&gt;"",1+MAX($A$2:A303),"")</f>
        <v>194</v>
      </c>
      <c r="B304" s="217"/>
      <c r="C304" s="88"/>
      <c r="D304" s="78" t="s">
        <v>244</v>
      </c>
      <c r="E304" s="60">
        <v>1</v>
      </c>
      <c r="F304" s="90">
        <v>0</v>
      </c>
      <c r="G304" s="89">
        <f t="shared" si="219"/>
        <v>1</v>
      </c>
      <c r="H304" s="60" t="s">
        <v>45</v>
      </c>
      <c r="I304" s="104">
        <v>1.1000000000000001</v>
      </c>
      <c r="J304" s="105">
        <f t="shared" si="220"/>
        <v>1.1000000000000001</v>
      </c>
      <c r="K304" s="106">
        <f>'LABOR SHEET'!$C$3</f>
        <v>70</v>
      </c>
      <c r="L304" s="107">
        <f t="shared" si="221"/>
        <v>77</v>
      </c>
      <c r="M304" s="107">
        <f t="shared" si="222"/>
        <v>77</v>
      </c>
      <c r="N304" s="107">
        <v>200</v>
      </c>
      <c r="O304" s="107">
        <f t="shared" si="223"/>
        <v>200</v>
      </c>
      <c r="P304" s="107">
        <f t="shared" si="224"/>
        <v>277</v>
      </c>
      <c r="Q304" s="131">
        <f t="shared" si="225"/>
        <v>277</v>
      </c>
      <c r="R304" s="138"/>
      <c r="S304" s="138"/>
      <c r="T304" s="138"/>
      <c r="U304" s="138"/>
      <c r="V304" s="138"/>
      <c r="W304" s="138"/>
      <c r="X304" s="138"/>
      <c r="Y304" s="138"/>
      <c r="Z304" s="138"/>
      <c r="AA304" s="138"/>
      <c r="AB304" s="138"/>
      <c r="AC304" s="138"/>
      <c r="AD304" s="138"/>
      <c r="AE304" s="138"/>
      <c r="AF304" s="138"/>
      <c r="AG304" s="138"/>
      <c r="AH304" s="138"/>
      <c r="AI304" s="138"/>
      <c r="AJ304" s="138"/>
    </row>
    <row r="305" spans="1:36" s="31" customFormat="1">
      <c r="A305" s="85">
        <f>IF(F305&lt;&gt;"",1+MAX($A$2:A304),"")</f>
        <v>195</v>
      </c>
      <c r="B305" s="217"/>
      <c r="C305" s="88"/>
      <c r="D305" s="78" t="s">
        <v>245</v>
      </c>
      <c r="E305" s="60">
        <v>3</v>
      </c>
      <c r="F305" s="90">
        <v>0</v>
      </c>
      <c r="G305" s="89">
        <f t="shared" si="219"/>
        <v>3</v>
      </c>
      <c r="H305" s="60" t="s">
        <v>45</v>
      </c>
      <c r="I305" s="104">
        <v>1.85</v>
      </c>
      <c r="J305" s="105">
        <f t="shared" si="220"/>
        <v>5.55</v>
      </c>
      <c r="K305" s="106">
        <f>'LABOR SHEET'!$C$3</f>
        <v>70</v>
      </c>
      <c r="L305" s="107">
        <f t="shared" si="221"/>
        <v>129.5</v>
      </c>
      <c r="M305" s="107">
        <f t="shared" si="222"/>
        <v>388.5</v>
      </c>
      <c r="N305" s="107">
        <v>407.04</v>
      </c>
      <c r="O305" s="107">
        <f t="shared" si="223"/>
        <v>1221.1199999999999</v>
      </c>
      <c r="P305" s="107">
        <f t="shared" si="224"/>
        <v>536.54</v>
      </c>
      <c r="Q305" s="131">
        <f t="shared" si="225"/>
        <v>1609.62</v>
      </c>
      <c r="R305" s="138"/>
      <c r="S305" s="138"/>
      <c r="T305" s="138"/>
      <c r="U305" s="138"/>
      <c r="V305" s="138"/>
      <c r="W305" s="138"/>
      <c r="X305" s="138"/>
      <c r="Y305" s="138"/>
      <c r="Z305" s="138"/>
      <c r="AA305" s="138"/>
      <c r="AB305" s="138"/>
      <c r="AC305" s="138"/>
      <c r="AD305" s="138"/>
      <c r="AE305" s="138"/>
      <c r="AF305" s="138"/>
      <c r="AG305" s="138"/>
      <c r="AH305" s="138"/>
      <c r="AI305" s="138"/>
      <c r="AJ305" s="138"/>
    </row>
    <row r="306" spans="1:36" s="31" customFormat="1" ht="31.2">
      <c r="A306" s="85">
        <f>IF(F306&lt;&gt;"",1+MAX($A$2:A305),"")</f>
        <v>196</v>
      </c>
      <c r="B306" s="217"/>
      <c r="C306" s="88"/>
      <c r="D306" s="80" t="s">
        <v>246</v>
      </c>
      <c r="E306" s="60">
        <v>1</v>
      </c>
      <c r="F306" s="90">
        <v>0</v>
      </c>
      <c r="G306" s="89">
        <f t="shared" si="219"/>
        <v>1</v>
      </c>
      <c r="H306" s="60" t="s">
        <v>45</v>
      </c>
      <c r="I306" s="104">
        <v>1.5</v>
      </c>
      <c r="J306" s="105">
        <f t="shared" si="220"/>
        <v>1.5</v>
      </c>
      <c r="K306" s="106">
        <f>'LABOR SHEET'!$C$3</f>
        <v>70</v>
      </c>
      <c r="L306" s="107">
        <f t="shared" si="221"/>
        <v>105</v>
      </c>
      <c r="M306" s="107">
        <f t="shared" si="222"/>
        <v>105</v>
      </c>
      <c r="N306" s="107">
        <v>306.48</v>
      </c>
      <c r="O306" s="107">
        <f t="shared" si="223"/>
        <v>306.48</v>
      </c>
      <c r="P306" s="107">
        <f t="shared" si="224"/>
        <v>411.48</v>
      </c>
      <c r="Q306" s="131">
        <f t="shared" si="225"/>
        <v>411.48</v>
      </c>
      <c r="R306" s="138"/>
      <c r="S306" s="138"/>
      <c r="T306" s="138"/>
      <c r="U306" s="138"/>
      <c r="V306" s="138"/>
      <c r="W306" s="138"/>
      <c r="X306" s="138"/>
      <c r="Y306" s="138"/>
      <c r="Z306" s="138"/>
      <c r="AA306" s="138"/>
      <c r="AB306" s="138"/>
      <c r="AC306" s="138"/>
      <c r="AD306" s="138"/>
      <c r="AE306" s="138"/>
      <c r="AF306" s="138"/>
      <c r="AG306" s="138"/>
      <c r="AH306" s="138"/>
      <c r="AI306" s="138"/>
      <c r="AJ306" s="138"/>
    </row>
    <row r="307" spans="1:36" s="31" customFormat="1">
      <c r="A307" s="85">
        <f>IF(F307&lt;&gt;"",1+MAX($A$2:A306),"")</f>
        <v>197</v>
      </c>
      <c r="B307" s="217"/>
      <c r="C307" s="88"/>
      <c r="D307" s="78" t="s">
        <v>247</v>
      </c>
      <c r="E307" s="60">
        <v>1</v>
      </c>
      <c r="F307" s="90">
        <v>0</v>
      </c>
      <c r="G307" s="89">
        <f t="shared" si="219"/>
        <v>1</v>
      </c>
      <c r="H307" s="60" t="s">
        <v>45</v>
      </c>
      <c r="I307" s="104">
        <v>8.8000000000000007</v>
      </c>
      <c r="J307" s="105">
        <f t="shared" si="220"/>
        <v>8.8000000000000007</v>
      </c>
      <c r="K307" s="106">
        <f>'LABOR SHEET'!$C$3</f>
        <v>70</v>
      </c>
      <c r="L307" s="107">
        <f t="shared" si="221"/>
        <v>616</v>
      </c>
      <c r="M307" s="107">
        <f t="shared" si="222"/>
        <v>616</v>
      </c>
      <c r="N307" s="107">
        <v>12082</v>
      </c>
      <c r="O307" s="107">
        <f t="shared" si="223"/>
        <v>12082</v>
      </c>
      <c r="P307" s="107">
        <f t="shared" si="224"/>
        <v>12698</v>
      </c>
      <c r="Q307" s="131">
        <f t="shared" si="225"/>
        <v>12698</v>
      </c>
      <c r="R307" s="138"/>
      <c r="S307" s="138"/>
      <c r="T307" s="138"/>
      <c r="U307" s="138"/>
      <c r="V307" s="138"/>
      <c r="W307" s="138"/>
      <c r="X307" s="138"/>
      <c r="Y307" s="138"/>
      <c r="Z307" s="138"/>
      <c r="AA307" s="138"/>
      <c r="AB307" s="138"/>
      <c r="AC307" s="138"/>
      <c r="AD307" s="138"/>
      <c r="AE307" s="138"/>
      <c r="AF307" s="138"/>
      <c r="AG307" s="138"/>
      <c r="AH307" s="138"/>
      <c r="AI307" s="138"/>
      <c r="AJ307" s="138"/>
    </row>
    <row r="308" spans="1:36" s="31" customFormat="1">
      <c r="A308" s="85">
        <f>IF(F308&lt;&gt;"",1+MAX($A$2:A307),"")</f>
        <v>198</v>
      </c>
      <c r="B308" s="217"/>
      <c r="C308" s="88"/>
      <c r="D308" s="78" t="s">
        <v>248</v>
      </c>
      <c r="E308" s="60">
        <v>2</v>
      </c>
      <c r="F308" s="90">
        <v>0</v>
      </c>
      <c r="G308" s="89">
        <f t="shared" si="219"/>
        <v>2</v>
      </c>
      <c r="H308" s="60" t="s">
        <v>45</v>
      </c>
      <c r="I308" s="104">
        <v>3.42</v>
      </c>
      <c r="J308" s="105">
        <f t="shared" ref="J308:J315" si="226">+I308*G308</f>
        <v>6.84</v>
      </c>
      <c r="K308" s="106">
        <f>'LABOR SHEET'!$C$3</f>
        <v>70</v>
      </c>
      <c r="L308" s="107">
        <f t="shared" ref="L308:L315" si="227">I308*K308</f>
        <v>239.4</v>
      </c>
      <c r="M308" s="107">
        <f t="shared" ref="M308:M315" si="228">K308*J308</f>
        <v>478.8</v>
      </c>
      <c r="N308" s="107">
        <v>1880</v>
      </c>
      <c r="O308" s="107">
        <f t="shared" ref="O308:O315" si="229">N308*G308</f>
        <v>3760</v>
      </c>
      <c r="P308" s="107">
        <f t="shared" ref="P308:P315" si="230">(I308*K308)+N308</f>
        <v>2119.4</v>
      </c>
      <c r="Q308" s="131">
        <f t="shared" ref="Q308:Q315" si="231">P308*G308</f>
        <v>4238.8</v>
      </c>
      <c r="R308" s="138"/>
      <c r="S308" s="138"/>
      <c r="T308" s="138"/>
      <c r="U308" s="138"/>
      <c r="V308" s="138"/>
      <c r="W308" s="138"/>
      <c r="X308" s="138"/>
      <c r="Y308" s="138"/>
      <c r="Z308" s="138"/>
      <c r="AA308" s="138"/>
      <c r="AB308" s="138"/>
      <c r="AC308" s="138"/>
      <c r="AD308" s="138"/>
      <c r="AE308" s="138"/>
      <c r="AF308" s="138"/>
      <c r="AG308" s="138"/>
      <c r="AH308" s="138"/>
      <c r="AI308" s="138"/>
      <c r="AJ308" s="138"/>
    </row>
    <row r="309" spans="1:36" s="31" customFormat="1">
      <c r="A309" s="85">
        <f>IF(F309&lt;&gt;"",1+MAX($A$2:A308),"")</f>
        <v>199</v>
      </c>
      <c r="B309" s="217"/>
      <c r="C309" s="88"/>
      <c r="D309" s="78" t="s">
        <v>249</v>
      </c>
      <c r="E309" s="60">
        <v>1</v>
      </c>
      <c r="F309" s="55">
        <v>0</v>
      </c>
      <c r="G309" s="89">
        <f t="shared" si="219"/>
        <v>1</v>
      </c>
      <c r="H309" s="60" t="s">
        <v>45</v>
      </c>
      <c r="I309" s="104">
        <v>4.8550000000000004</v>
      </c>
      <c r="J309" s="105">
        <f t="shared" si="226"/>
        <v>4.8550000000000004</v>
      </c>
      <c r="K309" s="106">
        <f>'LABOR SHEET'!$C$3</f>
        <v>70</v>
      </c>
      <c r="L309" s="107">
        <f t="shared" si="227"/>
        <v>339.85</v>
      </c>
      <c r="M309" s="107">
        <f t="shared" si="228"/>
        <v>339.85</v>
      </c>
      <c r="N309" s="107">
        <v>2250</v>
      </c>
      <c r="O309" s="107">
        <f t="shared" si="229"/>
        <v>2250</v>
      </c>
      <c r="P309" s="107">
        <f t="shared" si="230"/>
        <v>2589.85</v>
      </c>
      <c r="Q309" s="131">
        <f t="shared" si="231"/>
        <v>2589.85</v>
      </c>
      <c r="R309" s="138"/>
      <c r="S309" s="138"/>
      <c r="T309" s="138"/>
      <c r="U309" s="138"/>
      <c r="V309" s="138"/>
      <c r="W309" s="138"/>
      <c r="X309" s="138"/>
      <c r="Y309" s="138"/>
      <c r="Z309" s="138"/>
      <c r="AA309" s="138"/>
      <c r="AB309" s="138"/>
      <c r="AC309" s="138"/>
      <c r="AD309" s="138"/>
      <c r="AE309" s="138"/>
      <c r="AF309" s="138"/>
      <c r="AG309" s="138"/>
      <c r="AH309" s="138"/>
      <c r="AI309" s="138"/>
      <c r="AJ309" s="138"/>
    </row>
    <row r="310" spans="1:36" s="31" customFormat="1">
      <c r="A310" s="85">
        <f>IF(F310&lt;&gt;"",1+MAX($A$2:A309),"")</f>
        <v>200</v>
      </c>
      <c r="B310" s="217"/>
      <c r="C310" s="88"/>
      <c r="D310" s="78" t="s">
        <v>250</v>
      </c>
      <c r="E310" s="60">
        <v>2</v>
      </c>
      <c r="F310" s="90">
        <v>0</v>
      </c>
      <c r="G310" s="89">
        <f t="shared" si="219"/>
        <v>2</v>
      </c>
      <c r="H310" s="60" t="s">
        <v>45</v>
      </c>
      <c r="I310" s="104">
        <v>0.7</v>
      </c>
      <c r="J310" s="105">
        <f t="shared" si="226"/>
        <v>1.4</v>
      </c>
      <c r="K310" s="106">
        <f>'LABOR SHEET'!$C$3</f>
        <v>70</v>
      </c>
      <c r="L310" s="107">
        <f t="shared" si="227"/>
        <v>49</v>
      </c>
      <c r="M310" s="107">
        <f t="shared" si="228"/>
        <v>98</v>
      </c>
      <c r="N310" s="107">
        <v>85</v>
      </c>
      <c r="O310" s="107">
        <f t="shared" si="229"/>
        <v>170</v>
      </c>
      <c r="P310" s="107">
        <f t="shared" si="230"/>
        <v>134</v>
      </c>
      <c r="Q310" s="131">
        <f t="shared" si="231"/>
        <v>268</v>
      </c>
      <c r="R310" s="138"/>
      <c r="S310" s="138"/>
      <c r="T310" s="138"/>
      <c r="U310" s="138"/>
      <c r="V310" s="138"/>
      <c r="W310" s="138"/>
      <c r="X310" s="138"/>
      <c r="Y310" s="138"/>
      <c r="Z310" s="138"/>
      <c r="AA310" s="138"/>
      <c r="AB310" s="138"/>
      <c r="AC310" s="138"/>
      <c r="AD310" s="138"/>
      <c r="AE310" s="138"/>
      <c r="AF310" s="138"/>
      <c r="AG310" s="138"/>
      <c r="AH310" s="138"/>
      <c r="AI310" s="138"/>
      <c r="AJ310" s="138"/>
    </row>
    <row r="311" spans="1:36" s="31" customFormat="1">
      <c r="A311" s="85">
        <f>IF(F311&lt;&gt;"",1+MAX($A$2:A310),"")</f>
        <v>201</v>
      </c>
      <c r="B311" s="217"/>
      <c r="C311" s="88"/>
      <c r="D311" s="78" t="s">
        <v>251</v>
      </c>
      <c r="E311" s="60">
        <v>2</v>
      </c>
      <c r="F311" s="90">
        <v>0</v>
      </c>
      <c r="G311" s="89">
        <f t="shared" si="219"/>
        <v>2</v>
      </c>
      <c r="H311" s="60" t="s">
        <v>45</v>
      </c>
      <c r="I311" s="104">
        <v>8.8000000000000007</v>
      </c>
      <c r="J311" s="105">
        <f t="shared" si="226"/>
        <v>17.600000000000001</v>
      </c>
      <c r="K311" s="106">
        <f>'LABOR SHEET'!$C$3</f>
        <v>70</v>
      </c>
      <c r="L311" s="107">
        <f t="shared" si="227"/>
        <v>616</v>
      </c>
      <c r="M311" s="107">
        <f t="shared" si="228"/>
        <v>1232</v>
      </c>
      <c r="N311" s="107">
        <v>4800</v>
      </c>
      <c r="O311" s="107">
        <f t="shared" si="229"/>
        <v>9600</v>
      </c>
      <c r="P311" s="107">
        <f t="shared" si="230"/>
        <v>5416</v>
      </c>
      <c r="Q311" s="131">
        <f t="shared" si="231"/>
        <v>10832</v>
      </c>
      <c r="R311" s="138"/>
      <c r="S311" s="138"/>
      <c r="T311" s="138"/>
      <c r="U311" s="138"/>
      <c r="V311" s="138"/>
      <c r="W311" s="138"/>
      <c r="X311" s="138"/>
      <c r="Y311" s="138"/>
      <c r="Z311" s="138"/>
      <c r="AA311" s="138"/>
      <c r="AB311" s="138"/>
      <c r="AC311" s="138"/>
      <c r="AD311" s="138"/>
      <c r="AE311" s="138"/>
      <c r="AF311" s="138"/>
      <c r="AG311" s="138"/>
      <c r="AH311" s="138"/>
      <c r="AI311" s="138"/>
      <c r="AJ311" s="138"/>
    </row>
    <row r="312" spans="1:36" s="31" customFormat="1">
      <c r="A312" s="85">
        <f>IF(F312&lt;&gt;"",1+MAX($A$2:A311),"")</f>
        <v>202</v>
      </c>
      <c r="B312" s="217"/>
      <c r="C312" s="88"/>
      <c r="D312" s="78" t="s">
        <v>252</v>
      </c>
      <c r="E312" s="60">
        <v>2</v>
      </c>
      <c r="F312" s="90">
        <v>0</v>
      </c>
      <c r="G312" s="89">
        <f t="shared" si="219"/>
        <v>2</v>
      </c>
      <c r="H312" s="60" t="s">
        <v>45</v>
      </c>
      <c r="I312" s="104">
        <v>4.0999999999999996</v>
      </c>
      <c r="J312" s="105">
        <f t="shared" si="226"/>
        <v>8.1999999999999993</v>
      </c>
      <c r="K312" s="106">
        <f>'LABOR SHEET'!$C$3</f>
        <v>70</v>
      </c>
      <c r="L312" s="107">
        <f t="shared" si="227"/>
        <v>287</v>
      </c>
      <c r="M312" s="107">
        <f t="shared" si="228"/>
        <v>574</v>
      </c>
      <c r="N312" s="107">
        <v>560</v>
      </c>
      <c r="O312" s="107">
        <f t="shared" si="229"/>
        <v>1120</v>
      </c>
      <c r="P312" s="107">
        <f t="shared" si="230"/>
        <v>847</v>
      </c>
      <c r="Q312" s="131">
        <f t="shared" si="231"/>
        <v>1694</v>
      </c>
      <c r="R312" s="138"/>
      <c r="S312" s="138"/>
      <c r="T312" s="138"/>
      <c r="U312" s="138"/>
      <c r="V312" s="138"/>
      <c r="W312" s="138"/>
      <c r="X312" s="138"/>
      <c r="Y312" s="138"/>
      <c r="Z312" s="138"/>
      <c r="AA312" s="138"/>
      <c r="AB312" s="138"/>
      <c r="AC312" s="138"/>
      <c r="AD312" s="138"/>
      <c r="AE312" s="138"/>
      <c r="AF312" s="138"/>
      <c r="AG312" s="138"/>
      <c r="AH312" s="138"/>
      <c r="AI312" s="138"/>
      <c r="AJ312" s="138"/>
    </row>
    <row r="313" spans="1:36" s="31" customFormat="1">
      <c r="A313" s="85">
        <f>IF(F313&lt;&gt;"",1+MAX($A$2:A312),"")</f>
        <v>203</v>
      </c>
      <c r="B313" s="217"/>
      <c r="C313" s="88"/>
      <c r="D313" s="78" t="s">
        <v>253</v>
      </c>
      <c r="E313" s="60">
        <v>1</v>
      </c>
      <c r="F313" s="55">
        <v>0</v>
      </c>
      <c r="G313" s="89">
        <f t="shared" si="219"/>
        <v>1</v>
      </c>
      <c r="H313" s="60" t="s">
        <v>45</v>
      </c>
      <c r="I313" s="104">
        <v>4.8</v>
      </c>
      <c r="J313" s="105">
        <f t="shared" si="226"/>
        <v>4.8</v>
      </c>
      <c r="K313" s="106">
        <f>'LABOR SHEET'!$C$3</f>
        <v>70</v>
      </c>
      <c r="L313" s="107">
        <f t="shared" si="227"/>
        <v>336</v>
      </c>
      <c r="M313" s="107">
        <f t="shared" si="228"/>
        <v>336</v>
      </c>
      <c r="N313" s="107">
        <v>1426</v>
      </c>
      <c r="O313" s="107">
        <f t="shared" si="229"/>
        <v>1426</v>
      </c>
      <c r="P313" s="107">
        <f t="shared" si="230"/>
        <v>1762</v>
      </c>
      <c r="Q313" s="131">
        <f t="shared" si="231"/>
        <v>1762</v>
      </c>
      <c r="R313" s="138"/>
      <c r="S313" s="138"/>
      <c r="T313" s="138"/>
      <c r="U313" s="138"/>
      <c r="V313" s="138"/>
      <c r="W313" s="138"/>
      <c r="X313" s="138"/>
      <c r="Y313" s="138"/>
      <c r="Z313" s="138"/>
      <c r="AA313" s="138"/>
      <c r="AB313" s="138"/>
      <c r="AC313" s="138"/>
      <c r="AD313" s="138"/>
      <c r="AE313" s="138"/>
      <c r="AF313" s="138"/>
      <c r="AG313" s="138"/>
      <c r="AH313" s="138"/>
      <c r="AI313" s="138"/>
      <c r="AJ313" s="138"/>
    </row>
    <row r="314" spans="1:36" s="31" customFormat="1">
      <c r="A314" s="85">
        <f>IF(F314&lt;&gt;"",1+MAX($A$2:A313),"")</f>
        <v>204</v>
      </c>
      <c r="B314" s="217"/>
      <c r="C314" s="88"/>
      <c r="D314" s="78" t="s">
        <v>254</v>
      </c>
      <c r="E314" s="60">
        <v>1</v>
      </c>
      <c r="F314" s="55">
        <v>0</v>
      </c>
      <c r="G314" s="89">
        <f t="shared" si="219"/>
        <v>1</v>
      </c>
      <c r="H314" s="60" t="s">
        <v>45</v>
      </c>
      <c r="I314" s="104">
        <v>3.85</v>
      </c>
      <c r="J314" s="105">
        <f t="shared" si="226"/>
        <v>3.85</v>
      </c>
      <c r="K314" s="106">
        <f>'LABOR SHEET'!$C$3</f>
        <v>70</v>
      </c>
      <c r="L314" s="107">
        <f t="shared" si="227"/>
        <v>269.5</v>
      </c>
      <c r="M314" s="107">
        <f t="shared" si="228"/>
        <v>269.5</v>
      </c>
      <c r="N314" s="107">
        <v>923.39</v>
      </c>
      <c r="O314" s="107">
        <f t="shared" si="229"/>
        <v>923.39</v>
      </c>
      <c r="P314" s="107">
        <f t="shared" si="230"/>
        <v>1192.8900000000001</v>
      </c>
      <c r="Q314" s="131">
        <f t="shared" si="231"/>
        <v>1192.8900000000001</v>
      </c>
      <c r="R314" s="138"/>
      <c r="S314" s="138"/>
      <c r="T314" s="138"/>
      <c r="U314" s="138"/>
      <c r="V314" s="138"/>
      <c r="W314" s="138"/>
      <c r="X314" s="138"/>
      <c r="Y314" s="138"/>
      <c r="Z314" s="138"/>
      <c r="AA314" s="138"/>
      <c r="AB314" s="138"/>
      <c r="AC314" s="138"/>
      <c r="AD314" s="138"/>
      <c r="AE314" s="138"/>
      <c r="AF314" s="138"/>
      <c r="AG314" s="138"/>
      <c r="AH314" s="138"/>
      <c r="AI314" s="138"/>
      <c r="AJ314" s="138"/>
    </row>
    <row r="315" spans="1:36" s="31" customFormat="1">
      <c r="A315" s="85">
        <f>IF(F315&lt;&gt;"",1+MAX($A$2:A314),"")</f>
        <v>205</v>
      </c>
      <c r="B315" s="217"/>
      <c r="C315" s="88"/>
      <c r="D315" s="78" t="s">
        <v>255</v>
      </c>
      <c r="E315" s="60">
        <v>1</v>
      </c>
      <c r="F315" s="90">
        <v>0</v>
      </c>
      <c r="G315" s="89">
        <f t="shared" si="219"/>
        <v>1</v>
      </c>
      <c r="H315" s="60" t="s">
        <v>45</v>
      </c>
      <c r="I315" s="104">
        <v>0.5</v>
      </c>
      <c r="J315" s="105">
        <f t="shared" si="226"/>
        <v>0.5</v>
      </c>
      <c r="K315" s="106">
        <f>'LABOR SHEET'!$C$3</f>
        <v>70</v>
      </c>
      <c r="L315" s="107">
        <f t="shared" si="227"/>
        <v>35</v>
      </c>
      <c r="M315" s="107">
        <f t="shared" si="228"/>
        <v>35</v>
      </c>
      <c r="N315" s="107">
        <v>44</v>
      </c>
      <c r="O315" s="107">
        <f t="shared" si="229"/>
        <v>44</v>
      </c>
      <c r="P315" s="107">
        <f t="shared" si="230"/>
        <v>79</v>
      </c>
      <c r="Q315" s="131">
        <f t="shared" si="231"/>
        <v>79</v>
      </c>
      <c r="R315" s="138"/>
      <c r="S315" s="138"/>
      <c r="T315" s="138"/>
      <c r="U315" s="138"/>
      <c r="V315" s="138"/>
      <c r="W315" s="138"/>
      <c r="X315" s="138"/>
      <c r="Y315" s="138"/>
      <c r="Z315" s="138"/>
      <c r="AA315" s="138"/>
      <c r="AB315" s="138"/>
      <c r="AC315" s="138"/>
      <c r="AD315" s="138"/>
      <c r="AE315" s="138"/>
      <c r="AF315" s="138"/>
      <c r="AG315" s="138"/>
      <c r="AH315" s="138"/>
      <c r="AI315" s="138"/>
      <c r="AJ315" s="138"/>
    </row>
    <row r="316" spans="1:36" s="31" customFormat="1">
      <c r="A316" s="85"/>
      <c r="B316" s="217"/>
      <c r="C316" s="88"/>
      <c r="D316" s="78"/>
      <c r="E316" s="60"/>
      <c r="F316" s="90"/>
      <c r="G316" s="89"/>
      <c r="H316" s="60"/>
      <c r="I316" s="104"/>
      <c r="J316" s="105"/>
      <c r="K316" s="106"/>
      <c r="L316" s="107"/>
      <c r="M316" s="107"/>
      <c r="N316" s="107"/>
      <c r="O316" s="107"/>
      <c r="P316" s="107"/>
      <c r="Q316" s="131"/>
      <c r="R316" s="138"/>
      <c r="S316" s="138"/>
      <c r="T316" s="138"/>
      <c r="U316" s="138"/>
      <c r="V316" s="138"/>
      <c r="W316" s="138"/>
      <c r="X316" s="138"/>
      <c r="Y316" s="138"/>
      <c r="Z316" s="138"/>
      <c r="AA316" s="138"/>
      <c r="AB316" s="138"/>
      <c r="AC316" s="138"/>
      <c r="AD316" s="138"/>
      <c r="AE316" s="138"/>
      <c r="AF316" s="138"/>
      <c r="AG316" s="138"/>
      <c r="AH316" s="138"/>
      <c r="AI316" s="138"/>
      <c r="AJ316" s="138"/>
    </row>
    <row r="317" spans="1:36" s="31" customFormat="1">
      <c r="A317" s="85" t="str">
        <f>IF(F317&lt;&gt;"",1+MAX($A$2:A315),"")</f>
        <v/>
      </c>
      <c r="B317" s="217"/>
      <c r="C317" s="88"/>
      <c r="D317" s="97" t="s">
        <v>256</v>
      </c>
      <c r="E317" s="60"/>
      <c r="F317" s="90"/>
      <c r="G317" s="89"/>
      <c r="H317" s="60"/>
      <c r="I317" s="104"/>
      <c r="J317" s="105"/>
      <c r="K317" s="106"/>
      <c r="L317" s="107"/>
      <c r="M317" s="107"/>
      <c r="N317" s="107"/>
      <c r="O317" s="107"/>
      <c r="P317" s="107"/>
      <c r="Q317" s="131"/>
      <c r="R317" s="138"/>
      <c r="S317" s="138"/>
      <c r="T317" s="138"/>
      <c r="U317" s="138"/>
      <c r="V317" s="138"/>
      <c r="W317" s="138"/>
      <c r="X317" s="138"/>
      <c r="Y317" s="138"/>
      <c r="Z317" s="138"/>
      <c r="AA317" s="138"/>
      <c r="AB317" s="138"/>
      <c r="AC317" s="138"/>
      <c r="AD317" s="138"/>
      <c r="AE317" s="138"/>
      <c r="AF317" s="138"/>
      <c r="AG317" s="138"/>
      <c r="AH317" s="138"/>
      <c r="AI317" s="138"/>
      <c r="AJ317" s="138"/>
    </row>
    <row r="318" spans="1:36" s="31" customFormat="1">
      <c r="A318" s="85">
        <f>IF(F318&lt;&gt;"",1+MAX($A$2:A317),"")</f>
        <v>206</v>
      </c>
      <c r="B318" s="217"/>
      <c r="C318" s="88"/>
      <c r="D318" s="78" t="s">
        <v>257</v>
      </c>
      <c r="E318" s="60">
        <v>1</v>
      </c>
      <c r="F318" s="90">
        <v>0</v>
      </c>
      <c r="G318" s="89">
        <f t="shared" ref="G318:G322" si="232">E318*(1+F318)</f>
        <v>1</v>
      </c>
      <c r="H318" s="60" t="s">
        <v>45</v>
      </c>
      <c r="I318" s="104">
        <v>2.85</v>
      </c>
      <c r="J318" s="105">
        <f>+I318*G318</f>
        <v>2.85</v>
      </c>
      <c r="K318" s="106">
        <f>'LABOR SHEET'!$C$3</f>
        <v>70</v>
      </c>
      <c r="L318" s="107">
        <f>I318*K318</f>
        <v>199.5</v>
      </c>
      <c r="M318" s="107">
        <f>K318*J318</f>
        <v>199.5</v>
      </c>
      <c r="N318" s="107">
        <v>425</v>
      </c>
      <c r="O318" s="107">
        <f>N318*G318</f>
        <v>425</v>
      </c>
      <c r="P318" s="107">
        <f>(I318*K318)+N318</f>
        <v>624.5</v>
      </c>
      <c r="Q318" s="131">
        <f>P318*G318</f>
        <v>624.5</v>
      </c>
      <c r="R318" s="138"/>
      <c r="S318" s="138"/>
      <c r="T318" s="138"/>
      <c r="U318" s="138"/>
      <c r="V318" s="138"/>
      <c r="W318" s="138"/>
      <c r="X318" s="138"/>
      <c r="Y318" s="138"/>
      <c r="Z318" s="138"/>
      <c r="AA318" s="138"/>
      <c r="AB318" s="138"/>
      <c r="AC318" s="138"/>
      <c r="AD318" s="138"/>
      <c r="AE318" s="138"/>
      <c r="AF318" s="138"/>
      <c r="AG318" s="138"/>
      <c r="AH318" s="138"/>
      <c r="AI318" s="138"/>
      <c r="AJ318" s="138"/>
    </row>
    <row r="319" spans="1:36" s="31" customFormat="1">
      <c r="A319" s="85">
        <f>IF(F319&lt;&gt;"",1+MAX($A$2:A318),"")</f>
        <v>207</v>
      </c>
      <c r="B319" s="217"/>
      <c r="C319" s="143"/>
      <c r="D319" s="78" t="s">
        <v>258</v>
      </c>
      <c r="E319" s="60">
        <v>1</v>
      </c>
      <c r="F319" s="90">
        <v>0</v>
      </c>
      <c r="G319" s="89">
        <f t="shared" si="232"/>
        <v>1</v>
      </c>
      <c r="H319" s="60" t="s">
        <v>45</v>
      </c>
      <c r="I319" s="104">
        <v>4.7</v>
      </c>
      <c r="J319" s="105">
        <f>+I319*G319</f>
        <v>4.7</v>
      </c>
      <c r="K319" s="106">
        <f>'LABOR SHEET'!$C$3</f>
        <v>70</v>
      </c>
      <c r="L319" s="107">
        <f>I319*K319</f>
        <v>329</v>
      </c>
      <c r="M319" s="107">
        <f>K319*J319</f>
        <v>329</v>
      </c>
      <c r="N319" s="107">
        <v>726</v>
      </c>
      <c r="O319" s="107">
        <f>N319*G319</f>
        <v>726</v>
      </c>
      <c r="P319" s="107">
        <f>(I319*K319)+N319</f>
        <v>1055</v>
      </c>
      <c r="Q319" s="131">
        <f>P319*G319</f>
        <v>1055</v>
      </c>
      <c r="R319" s="138"/>
      <c r="S319" s="138"/>
      <c r="T319" s="138"/>
      <c r="U319" s="138"/>
      <c r="V319" s="138"/>
      <c r="W319" s="138"/>
      <c r="X319" s="138"/>
      <c r="Y319" s="138"/>
      <c r="Z319" s="138"/>
      <c r="AA319" s="138"/>
      <c r="AB319" s="138"/>
      <c r="AC319" s="138"/>
      <c r="AD319" s="138"/>
      <c r="AE319" s="138"/>
      <c r="AF319" s="138"/>
      <c r="AG319" s="138"/>
      <c r="AH319" s="138"/>
      <c r="AI319" s="138"/>
      <c r="AJ319" s="138"/>
    </row>
    <row r="320" spans="1:36" s="31" customFormat="1">
      <c r="A320" s="85">
        <f>IF(F320&lt;&gt;"",1+MAX($A$2:A319),"")</f>
        <v>208</v>
      </c>
      <c r="B320" s="217"/>
      <c r="C320" s="143"/>
      <c r="D320" s="78" t="s">
        <v>259</v>
      </c>
      <c r="E320" s="60">
        <v>4</v>
      </c>
      <c r="F320" s="90">
        <v>0</v>
      </c>
      <c r="G320" s="89">
        <f t="shared" si="232"/>
        <v>4</v>
      </c>
      <c r="H320" s="60" t="s">
        <v>45</v>
      </c>
      <c r="I320" s="104">
        <v>5.89</v>
      </c>
      <c r="J320" s="105">
        <f>+I320*G320</f>
        <v>23.56</v>
      </c>
      <c r="K320" s="106">
        <f>'LABOR SHEET'!$C$3</f>
        <v>70</v>
      </c>
      <c r="L320" s="107">
        <f>I320*K320</f>
        <v>412.3</v>
      </c>
      <c r="M320" s="107">
        <f>K320*J320</f>
        <v>1649.2</v>
      </c>
      <c r="N320" s="107">
        <v>908</v>
      </c>
      <c r="O320" s="107">
        <f>N320*G320</f>
        <v>3632</v>
      </c>
      <c r="P320" s="107">
        <f>(I320*K320)+N320</f>
        <v>1320.3</v>
      </c>
      <c r="Q320" s="131">
        <f>P320*G320</f>
        <v>5281.2</v>
      </c>
      <c r="R320" s="138"/>
      <c r="S320" s="138"/>
      <c r="T320" s="138"/>
      <c r="U320" s="138"/>
      <c r="V320" s="138"/>
      <c r="W320" s="138"/>
      <c r="X320" s="138"/>
      <c r="Y320" s="138"/>
      <c r="Z320" s="138"/>
      <c r="AA320" s="138"/>
      <c r="AB320" s="138"/>
      <c r="AC320" s="138"/>
      <c r="AD320" s="138"/>
      <c r="AE320" s="138"/>
      <c r="AF320" s="138"/>
      <c r="AG320" s="138"/>
      <c r="AH320" s="138"/>
      <c r="AI320" s="138"/>
      <c r="AJ320" s="138"/>
    </row>
    <row r="321" spans="1:36" s="31" customFormat="1">
      <c r="A321" s="85">
        <f>IF(F321&lt;&gt;"",1+MAX($A$2:A320),"")</f>
        <v>209</v>
      </c>
      <c r="B321" s="217"/>
      <c r="C321" s="143"/>
      <c r="D321" s="78" t="s">
        <v>260</v>
      </c>
      <c r="E321" s="60">
        <v>1</v>
      </c>
      <c r="F321" s="90">
        <v>0</v>
      </c>
      <c r="G321" s="89">
        <f t="shared" si="232"/>
        <v>1</v>
      </c>
      <c r="H321" s="60" t="s">
        <v>45</v>
      </c>
      <c r="I321" s="104">
        <v>5.2</v>
      </c>
      <c r="J321" s="105">
        <f>+I321*G321</f>
        <v>5.2</v>
      </c>
      <c r="K321" s="106">
        <f>'LABOR SHEET'!$C$3</f>
        <v>70</v>
      </c>
      <c r="L321" s="107">
        <f>I321*K321</f>
        <v>364</v>
      </c>
      <c r="M321" s="107">
        <f>K321*J321</f>
        <v>364</v>
      </c>
      <c r="N321" s="107">
        <v>802</v>
      </c>
      <c r="O321" s="107">
        <f>N321*G321</f>
        <v>802</v>
      </c>
      <c r="P321" s="107">
        <f>(I321*K321)+N321</f>
        <v>1166</v>
      </c>
      <c r="Q321" s="131">
        <f>P321*G321</f>
        <v>1166</v>
      </c>
      <c r="R321" s="138"/>
      <c r="S321" s="138"/>
      <c r="T321" s="138"/>
      <c r="U321" s="138"/>
      <c r="V321" s="138"/>
      <c r="W321" s="138"/>
      <c r="X321" s="138"/>
      <c r="Y321" s="138"/>
      <c r="Z321" s="138"/>
      <c r="AA321" s="138"/>
      <c r="AB321" s="138"/>
      <c r="AC321" s="138"/>
      <c r="AD321" s="138"/>
      <c r="AE321" s="138"/>
      <c r="AF321" s="138"/>
      <c r="AG321" s="138"/>
      <c r="AH321" s="138"/>
      <c r="AI321" s="138"/>
      <c r="AJ321" s="138"/>
    </row>
    <row r="322" spans="1:36" s="31" customFormat="1">
      <c r="A322" s="85">
        <f>IF(F322&lt;&gt;"",1+MAX($A$2:A321),"")</f>
        <v>210</v>
      </c>
      <c r="B322" s="217"/>
      <c r="C322" s="143"/>
      <c r="D322" s="78" t="s">
        <v>261</v>
      </c>
      <c r="E322" s="60">
        <v>7</v>
      </c>
      <c r="F322" s="90">
        <v>0</v>
      </c>
      <c r="G322" s="89">
        <f t="shared" si="232"/>
        <v>7</v>
      </c>
      <c r="H322" s="60" t="s">
        <v>45</v>
      </c>
      <c r="I322" s="104">
        <v>4.4119999999999999</v>
      </c>
      <c r="J322" s="105">
        <f>+I322*G322</f>
        <v>30.884</v>
      </c>
      <c r="K322" s="106">
        <f>'LABOR SHEET'!$C$3</f>
        <v>70</v>
      </c>
      <c r="L322" s="107">
        <f>I322*K322</f>
        <v>308.83999999999997</v>
      </c>
      <c r="M322" s="107">
        <f>K322*J322</f>
        <v>2161.88</v>
      </c>
      <c r="N322" s="107">
        <v>681</v>
      </c>
      <c r="O322" s="107">
        <f>N322*G322</f>
        <v>4767</v>
      </c>
      <c r="P322" s="107">
        <f>(I322*K322)+N322</f>
        <v>989.84</v>
      </c>
      <c r="Q322" s="131">
        <f>P322*G322</f>
        <v>6928.88</v>
      </c>
      <c r="R322" s="138"/>
      <c r="S322" s="138"/>
      <c r="T322" s="138"/>
      <c r="U322" s="138"/>
      <c r="V322" s="138"/>
      <c r="W322" s="138"/>
      <c r="X322" s="138"/>
      <c r="Y322" s="138"/>
      <c r="Z322" s="138"/>
      <c r="AA322" s="138"/>
      <c r="AB322" s="138"/>
      <c r="AC322" s="138"/>
      <c r="AD322" s="138"/>
      <c r="AE322" s="138"/>
      <c r="AF322" s="138"/>
      <c r="AG322" s="138"/>
      <c r="AH322" s="138"/>
      <c r="AI322" s="138"/>
      <c r="AJ322" s="138"/>
    </row>
    <row r="323" spans="1:36" s="31" customFormat="1">
      <c r="A323" s="85"/>
      <c r="B323" s="217"/>
      <c r="C323" s="143"/>
      <c r="D323" s="78"/>
      <c r="E323" s="60"/>
      <c r="F323" s="90"/>
      <c r="G323" s="89"/>
      <c r="H323" s="60"/>
      <c r="I323" s="104"/>
      <c r="J323" s="105"/>
      <c r="K323" s="106"/>
      <c r="L323" s="107"/>
      <c r="M323" s="107"/>
      <c r="N323" s="107"/>
      <c r="O323" s="107"/>
      <c r="P323" s="107"/>
      <c r="Q323" s="131"/>
      <c r="R323" s="138"/>
      <c r="S323" s="138"/>
      <c r="T323" s="138"/>
      <c r="U323" s="138"/>
      <c r="V323" s="138"/>
      <c r="W323" s="138"/>
      <c r="X323" s="138"/>
      <c r="Y323" s="138"/>
      <c r="Z323" s="138"/>
      <c r="AA323" s="138"/>
      <c r="AB323" s="138"/>
      <c r="AC323" s="138"/>
      <c r="AD323" s="138"/>
      <c r="AE323" s="138"/>
      <c r="AF323" s="138"/>
      <c r="AG323" s="138"/>
      <c r="AH323" s="138"/>
      <c r="AI323" s="138"/>
      <c r="AJ323" s="138"/>
    </row>
    <row r="324" spans="1:36" s="31" customFormat="1">
      <c r="A324" s="85" t="str">
        <f>IF(F324&lt;&gt;"",1+MAX($A$2:A322),"")</f>
        <v/>
      </c>
      <c r="B324" s="217"/>
      <c r="C324" s="88"/>
      <c r="D324" s="97" t="s">
        <v>262</v>
      </c>
      <c r="E324" s="60"/>
      <c r="F324" s="90"/>
      <c r="G324" s="89"/>
      <c r="H324" s="60"/>
      <c r="I324" s="104"/>
      <c r="J324" s="105"/>
      <c r="K324" s="106"/>
      <c r="L324" s="107"/>
      <c r="M324" s="107"/>
      <c r="N324" s="107"/>
      <c r="O324" s="107"/>
      <c r="P324" s="107"/>
      <c r="Q324" s="131"/>
      <c r="R324" s="138"/>
      <c r="S324" s="138"/>
      <c r="T324" s="138"/>
      <c r="U324" s="138"/>
      <c r="V324" s="138"/>
      <c r="W324" s="138"/>
      <c r="X324" s="138"/>
      <c r="Y324" s="138"/>
      <c r="Z324" s="138"/>
      <c r="AA324" s="138"/>
      <c r="AB324" s="138"/>
      <c r="AC324" s="138"/>
      <c r="AD324" s="138"/>
      <c r="AE324" s="138"/>
      <c r="AF324" s="138"/>
      <c r="AG324" s="138"/>
      <c r="AH324" s="138"/>
      <c r="AI324" s="138"/>
      <c r="AJ324" s="138"/>
    </row>
    <row r="325" spans="1:36" s="31" customFormat="1" ht="46.8">
      <c r="A325" s="85">
        <f>IF(F325&lt;&gt;"",1+MAX($A$2:A324),"")</f>
        <v>211</v>
      </c>
      <c r="B325" s="217"/>
      <c r="C325" s="88"/>
      <c r="D325" s="80" t="s">
        <v>263</v>
      </c>
      <c r="E325" s="60">
        <v>1</v>
      </c>
      <c r="F325" s="90">
        <v>0</v>
      </c>
      <c r="G325" s="89">
        <f t="shared" ref="G325:G333" si="233">E325*(1+F325)</f>
        <v>1</v>
      </c>
      <c r="H325" s="60" t="s">
        <v>45</v>
      </c>
      <c r="I325" s="104">
        <v>10.8</v>
      </c>
      <c r="J325" s="105">
        <f>+I325*G325</f>
        <v>10.8</v>
      </c>
      <c r="K325" s="106">
        <f>'LABOR SHEET'!$C$3</f>
        <v>70</v>
      </c>
      <c r="L325" s="107">
        <f>I325*K325</f>
        <v>756</v>
      </c>
      <c r="M325" s="107">
        <f>K325*J325</f>
        <v>756</v>
      </c>
      <c r="N325" s="107">
        <v>5700</v>
      </c>
      <c r="O325" s="107">
        <f>N325*G325</f>
        <v>5700</v>
      </c>
      <c r="P325" s="107">
        <f>(I325*K325)+N325</f>
        <v>6456</v>
      </c>
      <c r="Q325" s="131">
        <f>P325*G325</f>
        <v>6456</v>
      </c>
      <c r="R325" s="138"/>
      <c r="S325" s="138"/>
      <c r="T325" s="138"/>
      <c r="U325" s="138"/>
      <c r="V325" s="138"/>
      <c r="W325" s="138"/>
      <c r="X325" s="138"/>
      <c r="Y325" s="138"/>
      <c r="Z325" s="138"/>
      <c r="AA325" s="138"/>
      <c r="AB325" s="138"/>
      <c r="AC325" s="138"/>
      <c r="AD325" s="138"/>
      <c r="AE325" s="138"/>
      <c r="AF325" s="138"/>
      <c r="AG325" s="138"/>
      <c r="AH325" s="138"/>
      <c r="AI325" s="138"/>
      <c r="AJ325" s="138"/>
    </row>
    <row r="326" spans="1:36" s="31" customFormat="1" ht="109.2">
      <c r="A326" s="85">
        <f>IF(F326&lt;&gt;"",1+MAX($A$2:A325),"")</f>
        <v>212</v>
      </c>
      <c r="B326" s="217"/>
      <c r="C326" s="88"/>
      <c r="D326" s="148" t="s">
        <v>264</v>
      </c>
      <c r="E326" s="147">
        <v>1</v>
      </c>
      <c r="F326" s="90">
        <v>0</v>
      </c>
      <c r="G326" s="89">
        <f t="shared" si="233"/>
        <v>1</v>
      </c>
      <c r="H326" s="147" t="s">
        <v>45</v>
      </c>
      <c r="I326" s="104">
        <v>8.5</v>
      </c>
      <c r="J326" s="105">
        <f>+I326*G326</f>
        <v>8.5</v>
      </c>
      <c r="K326" s="106">
        <f>'LABOR SHEET'!$C$3</f>
        <v>70</v>
      </c>
      <c r="L326" s="107">
        <f>I326*K326</f>
        <v>595</v>
      </c>
      <c r="M326" s="107">
        <f>K326*J326</f>
        <v>595</v>
      </c>
      <c r="N326" s="107">
        <v>0</v>
      </c>
      <c r="O326" s="107">
        <f>N326*G326</f>
        <v>0</v>
      </c>
      <c r="P326" s="107">
        <f>(I326*K326)+N326</f>
        <v>595</v>
      </c>
      <c r="Q326" s="131">
        <f>P326*G326</f>
        <v>595</v>
      </c>
      <c r="R326" s="138"/>
      <c r="S326" s="138"/>
      <c r="T326" s="138"/>
      <c r="U326" s="138"/>
      <c r="V326" s="138"/>
      <c r="W326" s="138"/>
      <c r="X326" s="138"/>
      <c r="Y326" s="138"/>
      <c r="Z326" s="138"/>
      <c r="AA326" s="138"/>
      <c r="AB326" s="138"/>
      <c r="AC326" s="138"/>
      <c r="AD326" s="138"/>
      <c r="AE326" s="138"/>
      <c r="AF326" s="138"/>
      <c r="AG326" s="138"/>
      <c r="AH326" s="138"/>
      <c r="AI326" s="138"/>
      <c r="AJ326" s="138"/>
    </row>
    <row r="327" spans="1:36" s="31" customFormat="1" ht="46.8">
      <c r="A327" s="85">
        <f>IF(F327&lt;&gt;"",1+MAX($A$2:A326),"")</f>
        <v>213</v>
      </c>
      <c r="B327" s="217"/>
      <c r="C327" s="88"/>
      <c r="D327" s="80" t="s">
        <v>265</v>
      </c>
      <c r="E327" s="60">
        <v>1</v>
      </c>
      <c r="F327" s="90">
        <v>0</v>
      </c>
      <c r="G327" s="89">
        <f t="shared" si="233"/>
        <v>1</v>
      </c>
      <c r="H327" s="60" t="s">
        <v>45</v>
      </c>
      <c r="I327" s="104">
        <v>4.0999999999999996</v>
      </c>
      <c r="J327" s="105">
        <f>+I327*G327</f>
        <v>4.0999999999999996</v>
      </c>
      <c r="K327" s="106">
        <f>'LABOR SHEET'!$C$3</f>
        <v>70</v>
      </c>
      <c r="L327" s="107">
        <f>I327*K327</f>
        <v>287</v>
      </c>
      <c r="M327" s="107">
        <f>K327*J327</f>
        <v>287</v>
      </c>
      <c r="N327" s="107">
        <v>3240</v>
      </c>
      <c r="O327" s="107">
        <f>N327*G327</f>
        <v>3240</v>
      </c>
      <c r="P327" s="107">
        <f>(I327*K327)+N327</f>
        <v>3527</v>
      </c>
      <c r="Q327" s="131">
        <f>P327*G327</f>
        <v>3527</v>
      </c>
      <c r="R327" s="138"/>
      <c r="S327" s="138"/>
      <c r="T327" s="138"/>
      <c r="U327" s="138"/>
      <c r="V327" s="138"/>
      <c r="W327" s="138"/>
      <c r="X327" s="138"/>
      <c r="Y327" s="138"/>
      <c r="Z327" s="138"/>
      <c r="AA327" s="138"/>
      <c r="AB327" s="138"/>
      <c r="AC327" s="138"/>
      <c r="AD327" s="138"/>
      <c r="AE327" s="138"/>
      <c r="AF327" s="138"/>
      <c r="AG327" s="138"/>
      <c r="AH327" s="138"/>
      <c r="AI327" s="138"/>
      <c r="AJ327" s="138"/>
    </row>
    <row r="328" spans="1:36" s="31" customFormat="1">
      <c r="A328" s="85">
        <f>IF(F328&lt;&gt;"",1+MAX($A$2:A327),"")</f>
        <v>214</v>
      </c>
      <c r="B328" s="217"/>
      <c r="C328" s="88"/>
      <c r="D328" s="78" t="s">
        <v>266</v>
      </c>
      <c r="E328" s="60">
        <v>3</v>
      </c>
      <c r="F328" s="90">
        <v>0</v>
      </c>
      <c r="G328" s="89">
        <f t="shared" si="233"/>
        <v>3</v>
      </c>
      <c r="H328" s="60" t="s">
        <v>45</v>
      </c>
      <c r="I328" s="104">
        <v>2.1</v>
      </c>
      <c r="J328" s="105">
        <f t="shared" ref="J328:J333" si="234">+I328*G328</f>
        <v>6.3</v>
      </c>
      <c r="K328" s="106">
        <f>'LABOR SHEET'!$C$3</f>
        <v>70</v>
      </c>
      <c r="L328" s="107">
        <f t="shared" ref="L328:L333" si="235">I328*K328</f>
        <v>147</v>
      </c>
      <c r="M328" s="107">
        <f t="shared" ref="M328:M333" si="236">K328*J328</f>
        <v>441</v>
      </c>
      <c r="N328" s="107">
        <v>388</v>
      </c>
      <c r="O328" s="107">
        <f t="shared" ref="O328:O333" si="237">N328*G328</f>
        <v>1164</v>
      </c>
      <c r="P328" s="107">
        <f t="shared" ref="P328:P333" si="238">(I328*K328)+N328</f>
        <v>535</v>
      </c>
      <c r="Q328" s="131">
        <f t="shared" ref="Q328:Q333" si="239">P328*G328</f>
        <v>1605</v>
      </c>
      <c r="R328" s="138"/>
      <c r="S328" s="138"/>
      <c r="T328" s="138"/>
      <c r="U328" s="138"/>
      <c r="V328" s="138"/>
      <c r="W328" s="138"/>
      <c r="X328" s="138"/>
      <c r="Y328" s="138"/>
      <c r="Z328" s="138"/>
      <c r="AA328" s="138"/>
      <c r="AB328" s="138"/>
      <c r="AC328" s="138"/>
      <c r="AD328" s="138"/>
      <c r="AE328" s="138"/>
      <c r="AF328" s="138"/>
      <c r="AG328" s="138"/>
      <c r="AH328" s="138"/>
      <c r="AI328" s="138"/>
      <c r="AJ328" s="138"/>
    </row>
    <row r="329" spans="1:36" s="31" customFormat="1">
      <c r="A329" s="85">
        <f>IF(F329&lt;&gt;"",1+MAX($A$2:A328),"")</f>
        <v>215</v>
      </c>
      <c r="B329" s="217"/>
      <c r="C329" s="88"/>
      <c r="D329" s="78" t="s">
        <v>267</v>
      </c>
      <c r="E329" s="60">
        <v>30</v>
      </c>
      <c r="F329" s="90">
        <v>0.05</v>
      </c>
      <c r="G329" s="89">
        <f t="shared" si="233"/>
        <v>31.5</v>
      </c>
      <c r="H329" s="60" t="s">
        <v>38</v>
      </c>
      <c r="I329" s="104">
        <v>0.41</v>
      </c>
      <c r="J329" s="105">
        <f t="shared" si="234"/>
        <v>12.914999999999999</v>
      </c>
      <c r="K329" s="106">
        <f>'LABOR SHEET'!$C$3</f>
        <v>70</v>
      </c>
      <c r="L329" s="107">
        <f t="shared" si="235"/>
        <v>28.7</v>
      </c>
      <c r="M329" s="107">
        <f t="shared" si="236"/>
        <v>904.05</v>
      </c>
      <c r="N329" s="107">
        <v>17.95</v>
      </c>
      <c r="O329" s="107">
        <f t="shared" si="237"/>
        <v>565.42499999999995</v>
      </c>
      <c r="P329" s="107">
        <f t="shared" si="238"/>
        <v>46.65</v>
      </c>
      <c r="Q329" s="131">
        <f t="shared" si="239"/>
        <v>1469.4749999999999</v>
      </c>
      <c r="R329" s="138"/>
      <c r="S329" s="138"/>
      <c r="T329" s="138"/>
      <c r="U329" s="138"/>
      <c r="V329" s="138"/>
      <c r="W329" s="138"/>
      <c r="X329" s="138"/>
      <c r="Y329" s="138"/>
      <c r="Z329" s="138"/>
      <c r="AA329" s="138"/>
      <c r="AB329" s="138"/>
      <c r="AC329" s="138"/>
      <c r="AD329" s="138"/>
      <c r="AE329" s="138"/>
      <c r="AF329" s="138"/>
      <c r="AG329" s="138"/>
      <c r="AH329" s="138"/>
      <c r="AI329" s="138"/>
      <c r="AJ329" s="138"/>
    </row>
    <row r="330" spans="1:36" s="31" customFormat="1">
      <c r="A330" s="85">
        <f>IF(F330&lt;&gt;"",1+MAX($A$2:A329),"")</f>
        <v>216</v>
      </c>
      <c r="B330" s="217"/>
      <c r="C330" s="88"/>
      <c r="D330" s="78" t="s">
        <v>268</v>
      </c>
      <c r="E330" s="60">
        <v>30</v>
      </c>
      <c r="F330" s="90">
        <v>0.05</v>
      </c>
      <c r="G330" s="89">
        <f t="shared" si="233"/>
        <v>31.5</v>
      </c>
      <c r="H330" s="60" t="s">
        <v>38</v>
      </c>
      <c r="I330" s="104">
        <v>0.41</v>
      </c>
      <c r="J330" s="105">
        <f t="shared" si="234"/>
        <v>12.914999999999999</v>
      </c>
      <c r="K330" s="106">
        <f>'LABOR SHEET'!$C$3</f>
        <v>70</v>
      </c>
      <c r="L330" s="107">
        <f t="shared" si="235"/>
        <v>28.7</v>
      </c>
      <c r="M330" s="107">
        <f t="shared" si="236"/>
        <v>904.05</v>
      </c>
      <c r="N330" s="107">
        <v>17.95</v>
      </c>
      <c r="O330" s="107">
        <f t="shared" si="237"/>
        <v>565.42499999999995</v>
      </c>
      <c r="P330" s="107">
        <f t="shared" si="238"/>
        <v>46.65</v>
      </c>
      <c r="Q330" s="131">
        <f t="shared" si="239"/>
        <v>1469.4749999999999</v>
      </c>
      <c r="R330" s="138"/>
      <c r="S330" s="138"/>
      <c r="T330" s="138"/>
      <c r="U330" s="138"/>
      <c r="V330" s="138"/>
      <c r="W330" s="138"/>
      <c r="X330" s="138"/>
      <c r="Y330" s="138"/>
      <c r="Z330" s="138"/>
      <c r="AA330" s="138"/>
      <c r="AB330" s="138"/>
      <c r="AC330" s="138"/>
      <c r="AD330" s="138"/>
      <c r="AE330" s="138"/>
      <c r="AF330" s="138"/>
      <c r="AG330" s="138"/>
      <c r="AH330" s="138"/>
      <c r="AI330" s="138"/>
      <c r="AJ330" s="138"/>
    </row>
    <row r="331" spans="1:36" s="31" customFormat="1">
      <c r="A331" s="85">
        <f>IF(F331&lt;&gt;"",1+MAX($A$2:A330),"")</f>
        <v>217</v>
      </c>
      <c r="B331" s="217"/>
      <c r="C331" s="88"/>
      <c r="D331" s="78" t="s">
        <v>269</v>
      </c>
      <c r="E331" s="60">
        <v>12</v>
      </c>
      <c r="F331" s="90">
        <v>0.05</v>
      </c>
      <c r="G331" s="89">
        <f t="shared" si="233"/>
        <v>12.6</v>
      </c>
      <c r="H331" s="60" t="s">
        <v>38</v>
      </c>
      <c r="I331" s="104">
        <v>0.27100000000000002</v>
      </c>
      <c r="J331" s="105">
        <f t="shared" si="234"/>
        <v>3.4146000000000001</v>
      </c>
      <c r="K331" s="106">
        <f>'LABOR SHEET'!$C$3</f>
        <v>70</v>
      </c>
      <c r="L331" s="107">
        <f t="shared" si="235"/>
        <v>18.97</v>
      </c>
      <c r="M331" s="107">
        <f t="shared" si="236"/>
        <v>239.02199999999999</v>
      </c>
      <c r="N331" s="107">
        <v>5</v>
      </c>
      <c r="O331" s="107">
        <f t="shared" si="237"/>
        <v>63</v>
      </c>
      <c r="P331" s="107">
        <f t="shared" si="238"/>
        <v>23.97</v>
      </c>
      <c r="Q331" s="131">
        <f t="shared" si="239"/>
        <v>302.02199999999999</v>
      </c>
      <c r="R331" s="138"/>
      <c r="S331" s="138"/>
      <c r="T331" s="138"/>
      <c r="U331" s="138"/>
      <c r="V331" s="138"/>
      <c r="W331" s="138"/>
      <c r="X331" s="138"/>
      <c r="Y331" s="138"/>
      <c r="Z331" s="138"/>
      <c r="AA331" s="138"/>
      <c r="AB331" s="138"/>
      <c r="AC331" s="138"/>
      <c r="AD331" s="138"/>
      <c r="AE331" s="138"/>
      <c r="AF331" s="138"/>
      <c r="AG331" s="138"/>
      <c r="AH331" s="138"/>
      <c r="AI331" s="138"/>
      <c r="AJ331" s="138"/>
    </row>
    <row r="332" spans="1:36" s="31" customFormat="1">
      <c r="A332" s="85">
        <f>IF(F332&lt;&gt;"",1+MAX($A$2:A331),"")</f>
        <v>218</v>
      </c>
      <c r="B332" s="217"/>
      <c r="C332" s="88"/>
      <c r="D332" s="78" t="s">
        <v>270</v>
      </c>
      <c r="E332" s="60">
        <v>3</v>
      </c>
      <c r="F332" s="90">
        <v>0.05</v>
      </c>
      <c r="G332" s="89">
        <f t="shared" si="233"/>
        <v>3.15</v>
      </c>
      <c r="H332" s="60" t="s">
        <v>38</v>
      </c>
      <c r="I332" s="104">
        <v>0.7</v>
      </c>
      <c r="J332" s="105">
        <f t="shared" si="234"/>
        <v>2.2050000000000001</v>
      </c>
      <c r="K332" s="106">
        <f>'LABOR SHEET'!$C$3</f>
        <v>70</v>
      </c>
      <c r="L332" s="107">
        <f t="shared" si="235"/>
        <v>49</v>
      </c>
      <c r="M332" s="107">
        <f t="shared" si="236"/>
        <v>154.35</v>
      </c>
      <c r="N332" s="107">
        <v>82</v>
      </c>
      <c r="O332" s="107">
        <f t="shared" si="237"/>
        <v>258.3</v>
      </c>
      <c r="P332" s="107">
        <f t="shared" si="238"/>
        <v>131</v>
      </c>
      <c r="Q332" s="131">
        <f t="shared" si="239"/>
        <v>412.65</v>
      </c>
      <c r="R332" s="138"/>
      <c r="S332" s="138"/>
      <c r="T332" s="138"/>
      <c r="U332" s="138"/>
      <c r="V332" s="138"/>
      <c r="W332" s="138"/>
      <c r="X332" s="138"/>
      <c r="Y332" s="138"/>
      <c r="Z332" s="138"/>
      <c r="AA332" s="138"/>
      <c r="AB332" s="138"/>
      <c r="AC332" s="138"/>
      <c r="AD332" s="138"/>
      <c r="AE332" s="138"/>
      <c r="AF332" s="138"/>
      <c r="AG332" s="138"/>
      <c r="AH332" s="138"/>
      <c r="AI332" s="138"/>
      <c r="AJ332" s="138"/>
    </row>
    <row r="333" spans="1:36" s="31" customFormat="1">
      <c r="A333" s="85">
        <f>IF(F333&lt;&gt;"",1+MAX($A$2:A332),"")</f>
        <v>219</v>
      </c>
      <c r="B333" s="217"/>
      <c r="C333" s="88"/>
      <c r="D333" s="78" t="s">
        <v>271</v>
      </c>
      <c r="E333" s="60">
        <v>3</v>
      </c>
      <c r="F333" s="90">
        <v>0</v>
      </c>
      <c r="G333" s="89">
        <f t="shared" si="233"/>
        <v>3</v>
      </c>
      <c r="H333" s="60" t="s">
        <v>45</v>
      </c>
      <c r="I333" s="104">
        <v>3.42</v>
      </c>
      <c r="J333" s="105">
        <f t="shared" si="234"/>
        <v>10.26</v>
      </c>
      <c r="K333" s="106">
        <f>'LABOR SHEET'!$C$3</f>
        <v>70</v>
      </c>
      <c r="L333" s="107">
        <f t="shared" si="235"/>
        <v>239.4</v>
      </c>
      <c r="M333" s="107">
        <f t="shared" si="236"/>
        <v>718.2</v>
      </c>
      <c r="N333" s="107">
        <v>579</v>
      </c>
      <c r="O333" s="107">
        <f t="shared" si="237"/>
        <v>1737</v>
      </c>
      <c r="P333" s="107">
        <f t="shared" si="238"/>
        <v>818.4</v>
      </c>
      <c r="Q333" s="131">
        <f t="shared" si="239"/>
        <v>2455.1999999999998</v>
      </c>
      <c r="R333" s="138"/>
      <c r="S333" s="138"/>
      <c r="T333" s="138"/>
      <c r="U333" s="138"/>
      <c r="V333" s="138"/>
      <c r="W333" s="138"/>
      <c r="X333" s="138"/>
      <c r="Y333" s="138"/>
      <c r="Z333" s="138"/>
      <c r="AA333" s="138"/>
      <c r="AB333" s="138"/>
      <c r="AC333" s="138"/>
      <c r="AD333" s="138"/>
      <c r="AE333" s="138"/>
      <c r="AF333" s="138"/>
      <c r="AG333" s="138"/>
      <c r="AH333" s="138"/>
      <c r="AI333" s="138"/>
      <c r="AJ333" s="138"/>
    </row>
    <row r="334" spans="1:36" s="31" customFormat="1">
      <c r="A334" s="85"/>
      <c r="B334" s="217"/>
      <c r="C334" s="88"/>
      <c r="D334" s="78"/>
      <c r="E334" s="60"/>
      <c r="F334" s="90"/>
      <c r="G334" s="89"/>
      <c r="H334" s="60"/>
      <c r="I334" s="104"/>
      <c r="J334" s="105"/>
      <c r="K334" s="106"/>
      <c r="L334" s="107"/>
      <c r="M334" s="107"/>
      <c r="N334" s="107"/>
      <c r="O334" s="107"/>
      <c r="P334" s="107"/>
      <c r="Q334" s="131"/>
      <c r="R334" s="138"/>
      <c r="S334" s="138"/>
      <c r="T334" s="138"/>
      <c r="U334" s="138"/>
      <c r="V334" s="138"/>
      <c r="W334" s="138"/>
      <c r="X334" s="138"/>
      <c r="Y334" s="138"/>
      <c r="Z334" s="138"/>
      <c r="AA334" s="138"/>
      <c r="AB334" s="138"/>
      <c r="AC334" s="138"/>
      <c r="AD334" s="138"/>
      <c r="AE334" s="138"/>
      <c r="AF334" s="138"/>
      <c r="AG334" s="138"/>
      <c r="AH334" s="138"/>
      <c r="AI334" s="138"/>
      <c r="AJ334" s="138"/>
    </row>
    <row r="335" spans="1:36" s="31" customFormat="1">
      <c r="A335" s="85" t="str">
        <f>IF(F335&lt;&gt;"",1+MAX($A$2:A333),"")</f>
        <v/>
      </c>
      <c r="B335" s="217"/>
      <c r="C335" s="88"/>
      <c r="D335" s="97" t="s">
        <v>272</v>
      </c>
      <c r="E335" s="60"/>
      <c r="F335" s="90"/>
      <c r="G335" s="89"/>
      <c r="H335" s="60"/>
      <c r="I335" s="104"/>
      <c r="J335" s="105"/>
      <c r="K335" s="106"/>
      <c r="L335" s="107"/>
      <c r="M335" s="107"/>
      <c r="N335" s="107"/>
      <c r="O335" s="107"/>
      <c r="P335" s="107"/>
      <c r="Q335" s="131"/>
      <c r="R335" s="138"/>
      <c r="S335" s="138"/>
      <c r="T335" s="138"/>
      <c r="U335" s="138"/>
      <c r="V335" s="138"/>
      <c r="W335" s="138"/>
      <c r="X335" s="138"/>
      <c r="Y335" s="138"/>
      <c r="Z335" s="138"/>
      <c r="AA335" s="138"/>
      <c r="AB335" s="138"/>
      <c r="AC335" s="138"/>
      <c r="AD335" s="138"/>
      <c r="AE335" s="138"/>
      <c r="AF335" s="138"/>
      <c r="AG335" s="138"/>
      <c r="AH335" s="138"/>
      <c r="AI335" s="138"/>
      <c r="AJ335" s="138"/>
    </row>
    <row r="336" spans="1:36" s="31" customFormat="1">
      <c r="A336" s="85">
        <f>IF(F336&lt;&gt;"",1+MAX($A$2:A335),"")</f>
        <v>220</v>
      </c>
      <c r="B336" s="217"/>
      <c r="C336" s="88"/>
      <c r="D336" s="80" t="s">
        <v>273</v>
      </c>
      <c r="E336" s="62">
        <f>1*2294/27</f>
        <v>84.962962962963005</v>
      </c>
      <c r="F336" s="55">
        <v>0</v>
      </c>
      <c r="G336" s="89">
        <f t="shared" ref="G336" si="240">E336*(1+F336)</f>
        <v>84.962962962963005</v>
      </c>
      <c r="H336" s="60" t="s">
        <v>52</v>
      </c>
      <c r="I336" s="104">
        <v>1</v>
      </c>
      <c r="J336" s="105">
        <f t="shared" ref="J336" si="241">+I336*G336</f>
        <v>84.962962962963005</v>
      </c>
      <c r="K336" s="106">
        <f>'LABOR SHEET'!$C$3</f>
        <v>70</v>
      </c>
      <c r="L336" s="107">
        <f t="shared" ref="L336" si="242">I336*K336</f>
        <v>70</v>
      </c>
      <c r="M336" s="107">
        <f t="shared" ref="M336" si="243">K336*J336</f>
        <v>5947.4074074074097</v>
      </c>
      <c r="N336" s="107">
        <v>76</v>
      </c>
      <c r="O336" s="107">
        <f t="shared" ref="O336" si="244">N336*G336</f>
        <v>6457.1851851851898</v>
      </c>
      <c r="P336" s="107">
        <f t="shared" ref="P336" si="245">(I336*K336)+N336</f>
        <v>146</v>
      </c>
      <c r="Q336" s="131">
        <f t="shared" ref="Q336" si="246">P336*G336</f>
        <v>12404.5925925926</v>
      </c>
      <c r="R336" s="138"/>
      <c r="S336" s="138"/>
      <c r="T336" s="138"/>
      <c r="U336" s="138"/>
      <c r="V336" s="138"/>
      <c r="W336" s="138"/>
      <c r="X336" s="138"/>
      <c r="Y336" s="138"/>
      <c r="Z336" s="138"/>
      <c r="AA336" s="138"/>
      <c r="AB336" s="138"/>
      <c r="AC336" s="138"/>
      <c r="AD336" s="138"/>
      <c r="AE336" s="138"/>
      <c r="AF336" s="138"/>
      <c r="AG336" s="138"/>
      <c r="AH336" s="138"/>
      <c r="AI336" s="138"/>
      <c r="AJ336" s="138"/>
    </row>
    <row r="337" spans="1:36" s="31" customFormat="1" ht="31.2">
      <c r="A337" s="85" t="str">
        <f>IF(F337&lt;&gt;"",1+MAX($A$2:A336),"")</f>
        <v/>
      </c>
      <c r="B337" s="217"/>
      <c r="C337" s="88"/>
      <c r="D337" s="149" t="s">
        <v>274</v>
      </c>
      <c r="E337" s="62"/>
      <c r="F337" s="55"/>
      <c r="G337" s="89"/>
      <c r="H337" s="60"/>
      <c r="I337" s="104"/>
      <c r="J337" s="105"/>
      <c r="K337" s="106"/>
      <c r="L337" s="107"/>
      <c r="M337" s="107"/>
      <c r="N337" s="107"/>
      <c r="O337" s="107"/>
      <c r="P337" s="107"/>
      <c r="Q337" s="131"/>
      <c r="R337" s="138"/>
      <c r="S337" s="138"/>
      <c r="T337" s="138"/>
      <c r="U337" s="138"/>
      <c r="V337" s="138"/>
      <c r="W337" s="138"/>
      <c r="X337" s="138"/>
      <c r="Y337" s="138"/>
      <c r="Z337" s="138"/>
      <c r="AA337" s="138"/>
      <c r="AB337" s="138"/>
      <c r="AC337" s="138"/>
      <c r="AD337" s="138"/>
      <c r="AE337" s="138"/>
      <c r="AF337" s="138"/>
      <c r="AG337" s="138"/>
      <c r="AH337" s="138"/>
      <c r="AI337" s="138"/>
      <c r="AJ337" s="138"/>
    </row>
    <row r="338" spans="1:36" s="31" customFormat="1">
      <c r="A338" s="85" t="str">
        <f>IF(F338&lt;&gt;"",1+MAX($A$2:A337),"")</f>
        <v/>
      </c>
      <c r="B338" s="218"/>
      <c r="C338" s="88"/>
      <c r="D338" s="59"/>
      <c r="E338" s="62"/>
      <c r="F338" s="90"/>
      <c r="G338" s="89"/>
      <c r="H338" s="60"/>
      <c r="I338" s="104"/>
      <c r="J338" s="105"/>
      <c r="K338" s="106"/>
      <c r="L338" s="107"/>
      <c r="M338" s="107"/>
      <c r="N338" s="107"/>
      <c r="O338" s="107"/>
      <c r="P338" s="107"/>
      <c r="Q338" s="137"/>
      <c r="R338" s="138"/>
      <c r="S338" s="138"/>
      <c r="T338" s="138"/>
      <c r="U338" s="138"/>
      <c r="V338" s="138"/>
      <c r="W338" s="138"/>
      <c r="X338" s="138"/>
      <c r="Y338" s="138"/>
      <c r="Z338" s="138"/>
      <c r="AA338" s="138"/>
      <c r="AB338" s="138"/>
      <c r="AC338" s="138"/>
      <c r="AD338" s="138"/>
      <c r="AE338" s="138"/>
      <c r="AF338" s="138"/>
      <c r="AG338" s="138"/>
      <c r="AH338" s="138"/>
      <c r="AI338" s="138"/>
      <c r="AJ338" s="138"/>
    </row>
    <row r="339" spans="1:36" s="31" customFormat="1">
      <c r="A339" s="85" t="s">
        <v>275</v>
      </c>
      <c r="B339" s="91"/>
      <c r="C339" s="92"/>
      <c r="D339" s="70" t="s">
        <v>31</v>
      </c>
      <c r="E339" s="93"/>
      <c r="F339" s="93"/>
      <c r="G339" s="94"/>
      <c r="H339" s="93"/>
      <c r="I339" s="93"/>
      <c r="J339" s="118"/>
      <c r="K339" s="118"/>
      <c r="L339" s="119"/>
      <c r="M339" s="120"/>
      <c r="N339" s="119"/>
      <c r="O339" s="119"/>
      <c r="P339" s="121"/>
      <c r="Q339" s="126">
        <f>SUM(Q252:Q337)</f>
        <v>321815.13114814798</v>
      </c>
      <c r="S339" s="129"/>
    </row>
    <row r="340" spans="1:36" s="32" customFormat="1" ht="31.2">
      <c r="A340" s="85"/>
      <c r="B340" s="150"/>
      <c r="C340" s="150"/>
      <c r="D340" s="150"/>
      <c r="E340" s="150"/>
      <c r="F340" s="150"/>
      <c r="G340" s="150"/>
      <c r="H340" s="203" t="s">
        <v>276</v>
      </c>
      <c r="I340" s="204"/>
      <c r="J340" s="178">
        <f>SUM(J19:J337)</f>
        <v>19537.024473381502</v>
      </c>
      <c r="K340" s="205" t="s">
        <v>17</v>
      </c>
      <c r="L340" s="206"/>
      <c r="M340" s="179">
        <f>SUM(M19:M338)</f>
        <v>950377.55097809201</v>
      </c>
      <c r="N340" s="180" t="s">
        <v>19</v>
      </c>
      <c r="O340" s="181">
        <f>SUM(O19:O338)</f>
        <v>730313.50662870402</v>
      </c>
      <c r="P340" s="150"/>
      <c r="Q340" s="188"/>
      <c r="S340" s="189"/>
    </row>
    <row r="341" spans="1:36" s="32" customFormat="1">
      <c r="A341" s="151"/>
      <c r="B341" s="152"/>
      <c r="C341" s="153"/>
      <c r="D341" s="154" t="s">
        <v>277</v>
      </c>
      <c r="E341" s="155"/>
      <c r="F341" s="155"/>
      <c r="G341" s="156"/>
      <c r="H341" s="155"/>
      <c r="I341" s="155"/>
      <c r="J341" s="155"/>
      <c r="K341" s="155"/>
      <c r="L341" s="182"/>
      <c r="M341" s="182"/>
      <c r="N341" s="182"/>
      <c r="O341" s="182"/>
      <c r="P341" s="182"/>
      <c r="Q341" s="190">
        <f>SUM(Q8:Q339)/2</f>
        <v>1797691.0576068</v>
      </c>
      <c r="R341" s="191"/>
    </row>
    <row r="342" spans="1:36" s="32" customFormat="1">
      <c r="A342" s="151"/>
      <c r="B342" s="152"/>
      <c r="C342" s="157"/>
      <c r="D342" s="158" t="s">
        <v>278</v>
      </c>
      <c r="E342" s="159"/>
      <c r="F342" s="153"/>
      <c r="G342" s="159"/>
      <c r="H342" s="153"/>
      <c r="I342" s="153"/>
      <c r="J342" s="153"/>
      <c r="K342" s="153"/>
      <c r="L342" s="183">
        <v>0.05</v>
      </c>
      <c r="M342" s="183"/>
      <c r="N342" s="183"/>
      <c r="O342" s="183"/>
      <c r="P342" s="183"/>
      <c r="Q342" s="190">
        <f>Q341*L342</f>
        <v>89884.552880339805</v>
      </c>
      <c r="R342" s="192"/>
      <c r="S342" s="193"/>
      <c r="T342" s="193"/>
      <c r="U342" s="193"/>
      <c r="V342" s="193"/>
      <c r="W342" s="193"/>
      <c r="X342" s="193"/>
      <c r="Y342" s="193"/>
      <c r="Z342" s="193"/>
      <c r="AA342" s="193"/>
      <c r="AB342" s="193"/>
      <c r="AC342" s="193"/>
      <c r="AD342" s="193"/>
      <c r="AE342" s="193"/>
      <c r="AF342" s="193"/>
      <c r="AG342" s="193"/>
      <c r="AH342" s="193"/>
      <c r="AI342" s="193"/>
      <c r="AJ342" s="193"/>
    </row>
    <row r="343" spans="1:36" s="32" customFormat="1">
      <c r="A343" s="160"/>
      <c r="B343" s="161"/>
      <c r="C343" s="162"/>
      <c r="D343" s="163" t="s">
        <v>279</v>
      </c>
      <c r="E343" s="164"/>
      <c r="F343" s="165"/>
      <c r="G343" s="164"/>
      <c r="H343" s="165"/>
      <c r="I343" s="165"/>
      <c r="J343" s="165"/>
      <c r="K343" s="165"/>
      <c r="L343" s="184">
        <v>0.15</v>
      </c>
      <c r="M343" s="184"/>
      <c r="N343" s="184"/>
      <c r="O343" s="184"/>
      <c r="P343" s="184"/>
      <c r="Q343" s="194">
        <f>Q341*L343</f>
        <v>269653.65864101902</v>
      </c>
      <c r="R343" s="193"/>
      <c r="S343" s="193"/>
      <c r="T343" s="193"/>
      <c r="U343" s="193"/>
      <c r="V343" s="193"/>
      <c r="W343" s="193"/>
      <c r="X343" s="193"/>
      <c r="Y343" s="193"/>
      <c r="Z343" s="193"/>
      <c r="AA343" s="193"/>
      <c r="AB343" s="193"/>
      <c r="AC343" s="193"/>
      <c r="AD343" s="193"/>
      <c r="AE343" s="193"/>
      <c r="AF343" s="193"/>
      <c r="AG343" s="193"/>
      <c r="AH343" s="193"/>
      <c r="AI343" s="193"/>
      <c r="AJ343" s="193"/>
    </row>
    <row r="344" spans="1:36" s="32" customFormat="1">
      <c r="A344" s="166"/>
      <c r="B344" s="167"/>
      <c r="C344" s="168"/>
      <c r="D344" s="169" t="s">
        <v>280</v>
      </c>
      <c r="E344" s="170"/>
      <c r="F344" s="171"/>
      <c r="G344" s="170"/>
      <c r="H344" s="171"/>
      <c r="I344" s="171"/>
      <c r="J344" s="171"/>
      <c r="K344" s="171"/>
      <c r="L344" s="185">
        <v>6.25E-2</v>
      </c>
      <c r="M344" s="185"/>
      <c r="N344" s="185"/>
      <c r="O344" s="185"/>
      <c r="P344" s="185"/>
      <c r="Q344" s="195">
        <f>Q341*L344</f>
        <v>112355.691100425</v>
      </c>
      <c r="R344" s="193"/>
      <c r="S344" s="193"/>
      <c r="T344" s="193"/>
      <c r="U344" s="193"/>
      <c r="V344" s="193"/>
      <c r="W344" s="193"/>
      <c r="X344" s="193"/>
      <c r="Y344" s="193"/>
      <c r="Z344" s="193"/>
      <c r="AA344" s="193"/>
      <c r="AB344" s="193"/>
      <c r="AC344" s="193"/>
      <c r="AD344" s="193"/>
      <c r="AE344" s="193"/>
      <c r="AF344" s="193"/>
      <c r="AG344" s="193"/>
      <c r="AH344" s="193"/>
      <c r="AI344" s="193"/>
      <c r="AJ344" s="193"/>
    </row>
    <row r="345" spans="1:36" s="32" customFormat="1">
      <c r="A345" s="166"/>
      <c r="B345" s="167"/>
      <c r="C345" s="168"/>
      <c r="D345" s="169" t="s">
        <v>281</v>
      </c>
      <c r="E345" s="170"/>
      <c r="F345" s="171"/>
      <c r="G345" s="170"/>
      <c r="H345" s="171"/>
      <c r="I345" s="171"/>
      <c r="J345" s="171"/>
      <c r="K345" s="171"/>
      <c r="L345" s="186">
        <v>1.4999999999999999E-2</v>
      </c>
      <c r="M345" s="186"/>
      <c r="N345" s="186"/>
      <c r="O345" s="186"/>
      <c r="P345" s="186"/>
      <c r="Q345" s="195">
        <f>Q341*L345</f>
        <v>26965.365864102001</v>
      </c>
      <c r="R345" s="193"/>
      <c r="S345" s="193"/>
      <c r="T345" s="193"/>
      <c r="U345" s="193"/>
      <c r="V345" s="193"/>
      <c r="W345" s="193"/>
      <c r="X345" s="193"/>
      <c r="Y345" s="193"/>
      <c r="Z345" s="193"/>
      <c r="AA345" s="193"/>
      <c r="AB345" s="193"/>
      <c r="AC345" s="193"/>
      <c r="AD345" s="193"/>
      <c r="AE345" s="193"/>
      <c r="AF345" s="193"/>
      <c r="AG345" s="193"/>
      <c r="AH345" s="193"/>
      <c r="AI345" s="193"/>
      <c r="AJ345" s="193"/>
    </row>
    <row r="346" spans="1:36" s="32" customFormat="1">
      <c r="A346" s="172"/>
      <c r="B346" s="173"/>
      <c r="C346" s="174"/>
      <c r="D346" s="175" t="s">
        <v>282</v>
      </c>
      <c r="E346" s="176"/>
      <c r="F346" s="176"/>
      <c r="G346" s="177"/>
      <c r="H346" s="176"/>
      <c r="I346" s="176"/>
      <c r="J346" s="176"/>
      <c r="K346" s="176"/>
      <c r="L346" s="187"/>
      <c r="M346" s="187"/>
      <c r="N346" s="187"/>
      <c r="O346" s="187"/>
      <c r="P346" s="187"/>
      <c r="Q346" s="196">
        <f>SUM(Q341:Q345)</f>
        <v>2296550.32609268</v>
      </c>
    </row>
  </sheetData>
  <mergeCells count="11">
    <mergeCell ref="A2:Q2"/>
    <mergeCell ref="B3:C3"/>
    <mergeCell ref="B4:C4"/>
    <mergeCell ref="B5:C5"/>
    <mergeCell ref="H340:I340"/>
    <mergeCell ref="K340:L340"/>
    <mergeCell ref="B19:B34"/>
    <mergeCell ref="B41:B44"/>
    <mergeCell ref="B49:B248"/>
    <mergeCell ref="B253:B338"/>
    <mergeCell ref="Q8:Q14"/>
  </mergeCells>
  <printOptions horizontalCentered="1"/>
  <pageMargins left="0.7" right="0.7" top="0.75" bottom="0.75" header="0.3" footer="0.3"/>
  <pageSetup paperSize="9" scale="36" fitToHeight="0" orientation="portrait"/>
  <headerFooter scaleWithDoc="0"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H39"/>
  <sheetViews>
    <sheetView workbookViewId="0">
      <selection activeCell="C6" sqref="C6"/>
    </sheetView>
  </sheetViews>
  <sheetFormatPr defaultColWidth="9.09765625" defaultRowHeight="14.4"/>
  <cols>
    <col min="1" max="1" width="26.8984375" style="1" customWidth="1"/>
    <col min="2" max="2" width="19.59765625" style="2" customWidth="1"/>
    <col min="3" max="3" width="20.5" style="2" customWidth="1"/>
    <col min="4" max="16384" width="9.09765625" style="2"/>
  </cols>
  <sheetData>
    <row r="1" spans="1:4" ht="15.6">
      <c r="A1" s="3"/>
      <c r="B1" s="4" t="s">
        <v>283</v>
      </c>
      <c r="C1" s="5" t="s">
        <v>284</v>
      </c>
    </row>
    <row r="2" spans="1:4" ht="15.6">
      <c r="A2" s="6"/>
      <c r="B2" s="7"/>
      <c r="C2" s="8"/>
    </row>
    <row r="3" spans="1:4" ht="15.6">
      <c r="A3" s="9" t="s">
        <v>285</v>
      </c>
      <c r="B3" s="10" t="s">
        <v>286</v>
      </c>
      <c r="C3" s="11">
        <v>70</v>
      </c>
      <c r="D3" s="12"/>
    </row>
    <row r="4" spans="1:4" ht="15.6">
      <c r="A4" s="9" t="s">
        <v>287</v>
      </c>
      <c r="B4" s="10" t="s">
        <v>288</v>
      </c>
      <c r="C4" s="11">
        <v>45</v>
      </c>
      <c r="D4" s="12"/>
    </row>
    <row r="5" spans="1:4" ht="15.6">
      <c r="A5" s="9" t="s">
        <v>289</v>
      </c>
      <c r="B5" s="10" t="s">
        <v>290</v>
      </c>
      <c r="C5" s="11">
        <v>45</v>
      </c>
    </row>
    <row r="6" spans="1:4" ht="15.6">
      <c r="A6" s="13"/>
      <c r="B6" s="14"/>
      <c r="C6" s="15"/>
    </row>
    <row r="7" spans="1:4">
      <c r="A7" s="3"/>
      <c r="B7" s="3"/>
      <c r="C7" s="3"/>
    </row>
    <row r="8" spans="1:4">
      <c r="A8" s="16" t="s">
        <v>291</v>
      </c>
      <c r="B8" s="17">
        <v>0</v>
      </c>
      <c r="C8" s="3"/>
    </row>
    <row r="9" spans="1:4">
      <c r="A9" s="3"/>
      <c r="B9" s="3"/>
      <c r="C9" s="3"/>
    </row>
    <row r="10" spans="1:4" ht="15.6">
      <c r="A10" s="3"/>
      <c r="B10" s="220" t="s">
        <v>10</v>
      </c>
      <c r="C10" s="221"/>
    </row>
    <row r="11" spans="1:4" ht="15.6">
      <c r="A11" s="18" t="s">
        <v>292</v>
      </c>
      <c r="B11" s="19" t="s">
        <v>45</v>
      </c>
      <c r="C11" s="20">
        <v>0</v>
      </c>
    </row>
    <row r="12" spans="1:4" ht="15.6">
      <c r="A12" s="21" t="s">
        <v>293</v>
      </c>
      <c r="B12" s="22" t="s">
        <v>38</v>
      </c>
      <c r="C12" s="23">
        <v>0.05</v>
      </c>
    </row>
    <row r="13" spans="1:4" ht="15.6">
      <c r="A13" s="21" t="s">
        <v>294</v>
      </c>
      <c r="B13" s="22" t="s">
        <v>36</v>
      </c>
      <c r="C13" s="23">
        <v>0.1</v>
      </c>
    </row>
    <row r="14" spans="1:4" ht="15.6">
      <c r="A14" s="21" t="s">
        <v>295</v>
      </c>
      <c r="B14" s="22" t="s">
        <v>296</v>
      </c>
      <c r="C14" s="23">
        <v>0.1</v>
      </c>
    </row>
    <row r="15" spans="1:4" ht="15.6">
      <c r="A15" s="21" t="s">
        <v>297</v>
      </c>
      <c r="B15" s="22" t="s">
        <v>52</v>
      </c>
      <c r="C15" s="23">
        <v>0.1</v>
      </c>
    </row>
    <row r="16" spans="1:4" ht="15.6">
      <c r="A16" s="21" t="s">
        <v>298</v>
      </c>
      <c r="B16" s="22" t="s">
        <v>24</v>
      </c>
      <c r="C16" s="23">
        <v>0</v>
      </c>
    </row>
    <row r="17" spans="1:3" ht="15.6">
      <c r="A17" s="21" t="s">
        <v>299</v>
      </c>
      <c r="B17" s="22" t="s">
        <v>300</v>
      </c>
      <c r="C17" s="23">
        <v>0</v>
      </c>
    </row>
    <row r="18" spans="1:3" ht="15.6">
      <c r="A18" s="21" t="s">
        <v>301</v>
      </c>
      <c r="B18" s="22" t="s">
        <v>302</v>
      </c>
      <c r="C18" s="23">
        <v>0</v>
      </c>
    </row>
    <row r="19" spans="1:3" ht="15.6">
      <c r="A19" s="21" t="s">
        <v>303</v>
      </c>
      <c r="B19" s="22" t="s">
        <v>304</v>
      </c>
      <c r="C19" s="23">
        <v>0</v>
      </c>
    </row>
    <row r="20" spans="1:3" ht="15.6">
      <c r="A20" s="21" t="s">
        <v>305</v>
      </c>
      <c r="B20" s="22" t="s">
        <v>306</v>
      </c>
      <c r="C20" s="23">
        <v>0</v>
      </c>
    </row>
    <row r="21" spans="1:3" ht="15.6">
      <c r="A21" s="21" t="s">
        <v>307</v>
      </c>
      <c r="B21" s="22" t="s">
        <v>308</v>
      </c>
      <c r="C21" s="23">
        <v>0.1</v>
      </c>
    </row>
    <row r="22" spans="1:3" ht="15.6">
      <c r="A22" s="21" t="s">
        <v>309</v>
      </c>
      <c r="B22" s="22" t="s">
        <v>78</v>
      </c>
      <c r="C22" s="23">
        <v>0.1</v>
      </c>
    </row>
    <row r="23" spans="1:3" ht="15.6">
      <c r="A23" s="21" t="s">
        <v>310</v>
      </c>
      <c r="B23" s="22" t="s">
        <v>311</v>
      </c>
      <c r="C23" s="23">
        <v>0</v>
      </c>
    </row>
    <row r="24" spans="1:3" ht="15.6">
      <c r="A24" s="21" t="s">
        <v>312</v>
      </c>
      <c r="B24" s="22" t="s">
        <v>313</v>
      </c>
      <c r="C24" s="23">
        <v>0</v>
      </c>
    </row>
    <row r="25" spans="1:3" ht="15.6">
      <c r="A25" s="21" t="s">
        <v>314</v>
      </c>
      <c r="B25" s="22" t="s">
        <v>314</v>
      </c>
      <c r="C25" s="23">
        <v>0.1</v>
      </c>
    </row>
    <row r="26" spans="1:3" ht="15.6">
      <c r="A26" s="21" t="s">
        <v>315</v>
      </c>
      <c r="B26" s="22" t="s">
        <v>316</v>
      </c>
      <c r="C26" s="23">
        <v>0</v>
      </c>
    </row>
    <row r="27" spans="1:3" ht="15.6">
      <c r="A27" s="21" t="s">
        <v>317</v>
      </c>
      <c r="B27" s="22" t="s">
        <v>318</v>
      </c>
      <c r="C27" s="23">
        <v>0</v>
      </c>
    </row>
    <row r="28" spans="1:3" ht="15.6">
      <c r="A28" s="21" t="s">
        <v>319</v>
      </c>
      <c r="B28" s="22" t="s">
        <v>320</v>
      </c>
      <c r="C28" s="23">
        <v>0</v>
      </c>
    </row>
    <row r="29" spans="1:3" ht="15.6">
      <c r="A29" s="21" t="s">
        <v>310</v>
      </c>
      <c r="B29" s="22" t="s">
        <v>321</v>
      </c>
      <c r="C29" s="23">
        <v>0</v>
      </c>
    </row>
    <row r="30" spans="1:3" ht="15.6">
      <c r="A30" s="21" t="s">
        <v>322</v>
      </c>
      <c r="B30" s="22" t="s">
        <v>323</v>
      </c>
      <c r="C30" s="23">
        <v>0</v>
      </c>
    </row>
    <row r="31" spans="1:3" ht="15.6">
      <c r="A31" s="21" t="s">
        <v>324</v>
      </c>
      <c r="B31" s="22" t="s">
        <v>325</v>
      </c>
      <c r="C31" s="23">
        <v>0</v>
      </c>
    </row>
    <row r="32" spans="1:3" ht="15.6">
      <c r="A32" s="21" t="s">
        <v>326</v>
      </c>
      <c r="B32" s="22" t="s">
        <v>327</v>
      </c>
      <c r="C32" s="23">
        <v>0.1</v>
      </c>
    </row>
    <row r="33" spans="1:8" ht="15.6">
      <c r="A33" s="24" t="s">
        <v>328</v>
      </c>
      <c r="B33" s="25" t="s">
        <v>328</v>
      </c>
      <c r="C33" s="26">
        <v>0</v>
      </c>
    </row>
    <row r="36" spans="1:8">
      <c r="A36" s="27" t="s">
        <v>329</v>
      </c>
      <c r="B36" s="28"/>
      <c r="C36" s="28"/>
      <c r="D36" s="28"/>
      <c r="E36" s="28"/>
      <c r="F36" s="28"/>
      <c r="G36" s="28"/>
      <c r="H36" s="28"/>
    </row>
    <row r="37" spans="1:8">
      <c r="A37" s="28" t="s">
        <v>330</v>
      </c>
      <c r="B37" s="28"/>
      <c r="C37" s="28"/>
      <c r="D37" s="28"/>
      <c r="E37" s="28"/>
      <c r="F37" s="28"/>
      <c r="G37" s="28"/>
      <c r="H37" s="28"/>
    </row>
    <row r="38" spans="1:8">
      <c r="A38" s="28" t="s">
        <v>331</v>
      </c>
      <c r="B38" s="28"/>
      <c r="C38" s="28"/>
      <c r="D38" s="28"/>
      <c r="E38" s="28"/>
      <c r="F38" s="28"/>
      <c r="G38" s="28"/>
      <c r="H38" s="28"/>
    </row>
    <row r="39" spans="1:8">
      <c r="A39" s="28" t="s">
        <v>332</v>
      </c>
      <c r="B39" s="28"/>
      <c r="C39" s="28"/>
      <c r="D39" s="28"/>
      <c r="E39" s="28"/>
      <c r="F39" s="28"/>
      <c r="G39" s="28"/>
      <c r="H39" s="28"/>
    </row>
  </sheetData>
  <mergeCells count="1">
    <mergeCell ref="B10:C10"/>
  </mergeCells>
  <pageMargins left="0.7" right="0.7" top="0.75" bottom="0.75" header="0.3" footer="0.3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S w i f t T o k e n s   x m l n s : x s d = " h t t p : / / w w w . w 3 . o r g / 2 0 0 1 / X M L S c h e m a "   x m l n s : x s i = " h t t p : / / w w w . w 3 . o r g / 2 0 0 1 / X M L S c h e m a - i n s t a n c e " > < T o k e n s / > < / S w i f t T o k e n s > 
</file>

<file path=customXml/itemProps1.xml><?xml version="1.0" encoding="utf-8"?>
<ds:datastoreItem xmlns:ds="http://schemas.openxmlformats.org/officeDocument/2006/customXml" ds:itemID="{F47021E2-8793-411E-B075-318530D433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Takeoff Breakdown</vt:lpstr>
      <vt:lpstr>LABOR SHEET</vt:lpstr>
      <vt:lpstr>'Takeoff Breakdown'!Print_Area</vt:lpstr>
      <vt:lpstr>'Takeoff Breakdown'!Print_Titles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Mfbzone</dc:creator>
  <cp:lastModifiedBy>CH Shahzaib</cp:lastModifiedBy>
  <cp:lastPrinted>2023-01-11T20:23:00Z</cp:lastPrinted>
  <dcterms:created xsi:type="dcterms:W3CDTF">2016-03-30T11:57:00Z</dcterms:created>
  <dcterms:modified xsi:type="dcterms:W3CDTF">2026-08-07T20:00:23Z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S9Connected">
    <vt:bool>true</vt:bool>
  </property>
  <property fmtid="{D5CDD505-2E9C-101B-9397-08002B2CF9AE}" pid="3" name="PlanSwiftJobName">
    <vt:lpwstr/>
  </property>
  <property fmtid="{D5CDD505-2E9C-101B-9397-08002B2CF9AE}" pid="4" name="PlanSwiftJobGuid">
    <vt:lpwstr/>
  </property>
  <property fmtid="{D5CDD505-2E9C-101B-9397-08002B2CF9AE}" pid="5" name="LinkedDataId">
    <vt:lpwstr>{F47021E2-8793-411E-B075-318530D4334E}</vt:lpwstr>
  </property>
  <property fmtid="{D5CDD505-2E9C-101B-9397-08002B2CF9AE}" pid="6" name="ICV">
    <vt:lpwstr>01A28A5F5238400C89C13C17579720B3_13</vt:lpwstr>
  </property>
  <property fmtid="{D5CDD505-2E9C-101B-9397-08002B2CF9AE}" pid="7" name="KSOProductBuildVer">
    <vt:lpwstr>1033-12.2.0.22549</vt:lpwstr>
  </property>
</Properties>
</file>